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filterPrivacy="1" defaultThemeVersion="166925"/>
  <xr:revisionPtr revIDLastSave="0" documentId="13_ncr:1_{576DF13B-5749-42BD-B604-EAE552FE1578}" xr6:coauthVersionLast="40" xr6:coauthVersionMax="40" xr10:uidLastSave="{00000000-0000-0000-0000-000000000000}"/>
  <bookViews>
    <workbookView xWindow="-120" yWindow="-120" windowWidth="29040" windowHeight="15840" xr2:uid="{77643FB9-1FA5-4C96-A307-3094911EB5B1}"/>
  </bookViews>
  <sheets>
    <sheet name="Data" sheetId="1" r:id="rId1"/>
    <sheet name="Analysis" sheetId="5" r:id="rId2"/>
  </sheets>
  <calcPr calcId="191029" iterateDelta="1E-4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5" l="1"/>
  <c r="I32" i="5"/>
  <c r="I31" i="5"/>
  <c r="I30" i="5"/>
  <c r="I29" i="5"/>
  <c r="I28" i="5"/>
  <c r="I27" i="5"/>
  <c r="I22" i="5"/>
  <c r="I21" i="5"/>
  <c r="I20" i="5"/>
  <c r="I19" i="5"/>
  <c r="I18" i="5"/>
  <c r="I17" i="5"/>
  <c r="I16" i="5"/>
  <c r="I11" i="5"/>
  <c r="I10" i="5"/>
  <c r="I9" i="5"/>
  <c r="I8" i="5"/>
  <c r="I7" i="5"/>
  <c r="I6" i="5"/>
  <c r="I5" i="5"/>
  <c r="G156" i="1"/>
  <c r="E156" i="1"/>
  <c r="D156" i="1"/>
  <c r="G155" i="1"/>
  <c r="E155" i="1"/>
  <c r="D155" i="1"/>
  <c r="G154" i="1"/>
  <c r="E154" i="1"/>
  <c r="D154" i="1"/>
  <c r="G153" i="1"/>
  <c r="E153" i="1"/>
  <c r="D153" i="1"/>
  <c r="G152" i="1"/>
  <c r="E152" i="1"/>
  <c r="D152" i="1"/>
  <c r="G151" i="1"/>
  <c r="E151" i="1"/>
  <c r="D151" i="1"/>
  <c r="G150" i="1"/>
  <c r="E150" i="1"/>
  <c r="D150" i="1"/>
  <c r="G149" i="1"/>
  <c r="E149" i="1"/>
  <c r="D149" i="1"/>
  <c r="G148" i="1"/>
  <c r="E148" i="1"/>
  <c r="D148" i="1"/>
  <c r="G147" i="1"/>
  <c r="E147" i="1"/>
  <c r="D147" i="1"/>
  <c r="G146" i="1"/>
  <c r="E146" i="1"/>
  <c r="D146" i="1"/>
  <c r="G145" i="1"/>
  <c r="E145" i="1"/>
  <c r="D145" i="1"/>
  <c r="G144" i="1"/>
  <c r="E144" i="1"/>
  <c r="D144" i="1"/>
  <c r="G143" i="1"/>
  <c r="E143" i="1"/>
  <c r="D143" i="1"/>
  <c r="G142" i="1"/>
  <c r="E142" i="1"/>
  <c r="D142" i="1"/>
  <c r="G141" i="1"/>
  <c r="E141" i="1"/>
  <c r="D141" i="1"/>
  <c r="G140" i="1"/>
  <c r="E140" i="1"/>
  <c r="D140" i="1"/>
  <c r="G139" i="1"/>
  <c r="E139" i="1"/>
  <c r="D139" i="1"/>
  <c r="G138" i="1"/>
  <c r="E138" i="1"/>
  <c r="D138" i="1"/>
  <c r="G137" i="1"/>
  <c r="E137" i="1"/>
  <c r="D137" i="1"/>
  <c r="G136" i="1"/>
  <c r="E136" i="1"/>
  <c r="D136" i="1"/>
  <c r="G135" i="1"/>
  <c r="E135" i="1"/>
  <c r="D135" i="1"/>
  <c r="G134" i="1"/>
  <c r="E134" i="1"/>
  <c r="D134" i="1"/>
  <c r="G133" i="1"/>
  <c r="E133" i="1"/>
  <c r="D133" i="1"/>
  <c r="G132" i="1"/>
  <c r="E132" i="1"/>
  <c r="D132" i="1"/>
  <c r="G131" i="1"/>
  <c r="E131" i="1"/>
  <c r="D131" i="1"/>
  <c r="G130" i="1"/>
  <c r="E130" i="1"/>
  <c r="D130" i="1"/>
  <c r="G129" i="1"/>
  <c r="E129" i="1"/>
  <c r="D129" i="1"/>
  <c r="E128" i="1"/>
  <c r="D128" i="1"/>
  <c r="G127" i="1"/>
  <c r="E127" i="1"/>
  <c r="D127" i="1"/>
  <c r="G126" i="1"/>
  <c r="E126" i="1"/>
  <c r="D126" i="1"/>
  <c r="G125" i="1"/>
  <c r="E125" i="1"/>
  <c r="D125" i="1"/>
  <c r="G124" i="1"/>
  <c r="N38" i="1" s="1"/>
  <c r="O38" i="1" s="1"/>
  <c r="E124" i="1"/>
  <c r="D124" i="1"/>
  <c r="G123" i="1"/>
  <c r="E123" i="1"/>
  <c r="D123" i="1"/>
  <c r="G122" i="1"/>
  <c r="E122" i="1"/>
  <c r="D122" i="1"/>
  <c r="G121" i="1"/>
  <c r="E121" i="1"/>
  <c r="D121" i="1"/>
  <c r="G120" i="1"/>
  <c r="E120" i="1"/>
  <c r="D120" i="1"/>
  <c r="G119" i="1"/>
  <c r="E119" i="1"/>
  <c r="D119" i="1"/>
  <c r="G118" i="1"/>
  <c r="E118" i="1"/>
  <c r="D118" i="1"/>
  <c r="E117" i="1"/>
  <c r="D117" i="1"/>
  <c r="G116" i="1"/>
  <c r="E116" i="1"/>
  <c r="D116" i="1"/>
  <c r="G115" i="1"/>
  <c r="E115" i="1"/>
  <c r="D115" i="1"/>
  <c r="G114" i="1"/>
  <c r="E114" i="1"/>
  <c r="D114" i="1"/>
  <c r="G113" i="1"/>
  <c r="N45" i="1" s="1"/>
  <c r="E113" i="1"/>
  <c r="D113" i="1"/>
  <c r="G112" i="1"/>
  <c r="E112" i="1"/>
  <c r="D112" i="1"/>
  <c r="G111" i="1"/>
  <c r="E111" i="1"/>
  <c r="D111" i="1"/>
  <c r="G110" i="1"/>
  <c r="E110" i="1"/>
  <c r="D110" i="1"/>
  <c r="E109" i="1"/>
  <c r="D109" i="1"/>
  <c r="G108" i="1"/>
  <c r="E108" i="1"/>
  <c r="D108" i="1"/>
  <c r="G107" i="1"/>
  <c r="E107" i="1"/>
  <c r="D107" i="1"/>
  <c r="G106" i="1"/>
  <c r="E106" i="1"/>
  <c r="D106" i="1"/>
  <c r="G105" i="1"/>
  <c r="E105" i="1"/>
  <c r="D105" i="1"/>
  <c r="G104" i="1"/>
  <c r="E104" i="1"/>
  <c r="D104" i="1"/>
  <c r="G103" i="1"/>
  <c r="E103" i="1"/>
  <c r="D103" i="1"/>
  <c r="E102" i="1"/>
  <c r="D102" i="1"/>
  <c r="G101" i="1"/>
  <c r="E101" i="1"/>
  <c r="D101" i="1"/>
  <c r="G100" i="1"/>
  <c r="E100" i="1"/>
  <c r="D100" i="1"/>
  <c r="G99" i="1"/>
  <c r="N28" i="1" s="1"/>
  <c r="E99" i="1"/>
  <c r="D99" i="1"/>
  <c r="G98" i="1"/>
  <c r="E98" i="1"/>
  <c r="D98" i="1"/>
  <c r="G97" i="1"/>
  <c r="E97" i="1"/>
  <c r="D97" i="1"/>
  <c r="E96" i="1"/>
  <c r="D96" i="1"/>
  <c r="G95" i="1"/>
  <c r="E95" i="1"/>
  <c r="D95" i="1"/>
  <c r="G94" i="1"/>
  <c r="E94" i="1"/>
  <c r="D94" i="1"/>
  <c r="G93" i="1"/>
  <c r="E93" i="1"/>
  <c r="D93" i="1"/>
  <c r="G92" i="1"/>
  <c r="E92" i="1"/>
  <c r="D92" i="1"/>
  <c r="G91" i="1"/>
  <c r="E91" i="1"/>
  <c r="D91" i="1"/>
  <c r="G90" i="1"/>
  <c r="E90" i="1"/>
  <c r="D90" i="1"/>
  <c r="G89" i="1"/>
  <c r="E89" i="1"/>
  <c r="D89" i="1"/>
  <c r="G88" i="1"/>
  <c r="E88" i="1"/>
  <c r="D88" i="1"/>
  <c r="G87" i="1"/>
  <c r="E87" i="1"/>
  <c r="D87" i="1"/>
  <c r="G86" i="1"/>
  <c r="E86" i="1"/>
  <c r="D86" i="1"/>
  <c r="G85" i="1"/>
  <c r="E85" i="1"/>
  <c r="D85" i="1"/>
  <c r="G84" i="1"/>
  <c r="E84" i="1"/>
  <c r="D84" i="1"/>
  <c r="G83" i="1"/>
  <c r="E83" i="1"/>
  <c r="D83" i="1"/>
  <c r="G82" i="1"/>
  <c r="E82" i="1"/>
  <c r="D82" i="1"/>
  <c r="G81" i="1"/>
  <c r="E81" i="1"/>
  <c r="D81" i="1"/>
  <c r="G80" i="1"/>
  <c r="E80" i="1"/>
  <c r="D80" i="1"/>
  <c r="G79" i="1"/>
  <c r="E79" i="1"/>
  <c r="D79" i="1"/>
  <c r="G78" i="1"/>
  <c r="E78" i="1"/>
  <c r="D78" i="1"/>
  <c r="G77" i="1"/>
  <c r="E77" i="1"/>
  <c r="D77" i="1"/>
  <c r="E76" i="1"/>
  <c r="D76" i="1"/>
  <c r="G75" i="1"/>
  <c r="E75" i="1"/>
  <c r="D75" i="1"/>
  <c r="G74" i="1"/>
  <c r="E74" i="1"/>
  <c r="D74" i="1"/>
  <c r="G73" i="1"/>
  <c r="E73" i="1"/>
  <c r="D73" i="1"/>
  <c r="G72" i="1"/>
  <c r="E72" i="1"/>
  <c r="D72" i="1"/>
  <c r="G71" i="1"/>
  <c r="E71" i="1"/>
  <c r="D71" i="1"/>
  <c r="E70" i="1"/>
  <c r="D70" i="1"/>
  <c r="G69" i="1"/>
  <c r="E69" i="1"/>
  <c r="D69" i="1"/>
  <c r="G68" i="1"/>
  <c r="E68" i="1"/>
  <c r="D68" i="1"/>
  <c r="G67" i="1"/>
  <c r="E67" i="1"/>
  <c r="D67" i="1"/>
  <c r="G66" i="1"/>
  <c r="E66" i="1"/>
  <c r="D66" i="1"/>
  <c r="G65" i="1"/>
  <c r="E65" i="1"/>
  <c r="D65" i="1"/>
  <c r="G64" i="1"/>
  <c r="E64" i="1"/>
  <c r="D64" i="1"/>
  <c r="G63" i="1"/>
  <c r="E63" i="1"/>
  <c r="D63" i="1"/>
  <c r="G62" i="1"/>
  <c r="E62" i="1"/>
  <c r="D62" i="1"/>
  <c r="G61" i="1"/>
  <c r="E61" i="1"/>
  <c r="D61" i="1"/>
  <c r="G60" i="1"/>
  <c r="E60" i="1"/>
  <c r="D60" i="1"/>
  <c r="G59" i="1"/>
  <c r="E59" i="1"/>
  <c r="D59" i="1"/>
  <c r="G58" i="1"/>
  <c r="N27" i="1" s="1"/>
  <c r="E58" i="1"/>
  <c r="D58" i="1"/>
  <c r="G57" i="1"/>
  <c r="E57" i="1"/>
  <c r="D57" i="1"/>
  <c r="G56" i="1"/>
  <c r="E56" i="1"/>
  <c r="D56" i="1"/>
  <c r="G55" i="1"/>
  <c r="E55" i="1"/>
  <c r="D55" i="1"/>
  <c r="G54" i="1"/>
  <c r="E54" i="1"/>
  <c r="D54" i="1"/>
  <c r="G53" i="1"/>
  <c r="E53" i="1"/>
  <c r="D53" i="1"/>
  <c r="G52" i="1"/>
  <c r="E52" i="1"/>
  <c r="D52" i="1"/>
  <c r="G51" i="1"/>
  <c r="E51" i="1"/>
  <c r="D51" i="1"/>
  <c r="G50" i="1"/>
  <c r="E50" i="1"/>
  <c r="D50" i="1"/>
  <c r="G49" i="1"/>
  <c r="E49" i="1"/>
  <c r="D49" i="1"/>
  <c r="E48" i="1"/>
  <c r="D48" i="1"/>
  <c r="G47" i="1"/>
  <c r="E47" i="1"/>
  <c r="D47" i="1"/>
  <c r="G46" i="1"/>
  <c r="E46" i="1"/>
  <c r="D46" i="1"/>
  <c r="G45" i="1"/>
  <c r="E45" i="1"/>
  <c r="D45" i="1"/>
  <c r="G44" i="1"/>
  <c r="E44" i="1"/>
  <c r="D44" i="1"/>
  <c r="G43" i="1"/>
  <c r="E43" i="1"/>
  <c r="D43" i="1"/>
  <c r="G42" i="1"/>
  <c r="E42" i="1"/>
  <c r="D42" i="1"/>
  <c r="G41" i="1"/>
  <c r="E41" i="1"/>
  <c r="D41" i="1"/>
  <c r="G40" i="1"/>
  <c r="E40" i="1"/>
  <c r="D40" i="1"/>
  <c r="G39" i="1"/>
  <c r="E39" i="1"/>
  <c r="D39" i="1"/>
  <c r="G38" i="1"/>
  <c r="E38" i="1"/>
  <c r="D38" i="1"/>
  <c r="G37" i="1"/>
  <c r="E37" i="1"/>
  <c r="D37" i="1"/>
  <c r="G36" i="1"/>
  <c r="E36" i="1"/>
  <c r="D36" i="1"/>
  <c r="G35" i="1"/>
  <c r="E35" i="1"/>
  <c r="D35" i="1"/>
  <c r="N42" i="1"/>
  <c r="G33" i="1"/>
  <c r="E33" i="1"/>
  <c r="D33" i="1"/>
  <c r="N41" i="1"/>
  <c r="G32" i="1"/>
  <c r="E32" i="1"/>
  <c r="D32" i="1"/>
  <c r="N40" i="1"/>
  <c r="G31" i="1"/>
  <c r="E31" i="1"/>
  <c r="D31" i="1"/>
  <c r="G30" i="1"/>
  <c r="E30" i="1"/>
  <c r="D30" i="1"/>
  <c r="G29" i="1"/>
  <c r="E29" i="1"/>
  <c r="D29" i="1"/>
  <c r="G28" i="1"/>
  <c r="E28" i="1"/>
  <c r="D28" i="1"/>
  <c r="G27" i="1"/>
  <c r="E27" i="1"/>
  <c r="D27" i="1"/>
  <c r="G26" i="1"/>
  <c r="E26" i="1"/>
  <c r="D26" i="1"/>
  <c r="G25" i="1"/>
  <c r="E25" i="1"/>
  <c r="D25" i="1"/>
  <c r="G24" i="1"/>
  <c r="E24" i="1"/>
  <c r="D24" i="1"/>
  <c r="G23" i="1"/>
  <c r="E23" i="1"/>
  <c r="D23" i="1"/>
  <c r="G22" i="1"/>
  <c r="E22" i="1"/>
  <c r="D22" i="1"/>
  <c r="G21" i="1"/>
  <c r="E21" i="1"/>
  <c r="D21" i="1"/>
  <c r="N30" i="1"/>
  <c r="G20" i="1"/>
  <c r="E20" i="1"/>
  <c r="D20" i="1"/>
  <c r="N29" i="1"/>
  <c r="G19" i="1"/>
  <c r="E19" i="1"/>
  <c r="D19" i="1"/>
  <c r="G18" i="1"/>
  <c r="E18" i="1"/>
  <c r="D18" i="1"/>
  <c r="G17" i="1"/>
  <c r="E17" i="1"/>
  <c r="D17" i="1"/>
  <c r="N26" i="1"/>
  <c r="G16" i="1"/>
  <c r="E16" i="1"/>
  <c r="D16" i="1"/>
  <c r="G15" i="1"/>
  <c r="E15" i="1"/>
  <c r="D15" i="1"/>
  <c r="G14" i="1"/>
  <c r="E14" i="1"/>
  <c r="D14" i="1"/>
  <c r="G13" i="1"/>
  <c r="E13" i="1"/>
  <c r="D13" i="1"/>
  <c r="G12" i="1"/>
  <c r="E12" i="1"/>
  <c r="D12" i="1"/>
  <c r="G11" i="1"/>
  <c r="E11" i="1"/>
  <c r="D11" i="1"/>
  <c r="G10" i="1"/>
  <c r="E10" i="1"/>
  <c r="D10" i="1"/>
  <c r="G9" i="1"/>
  <c r="E9" i="1"/>
  <c r="D9" i="1"/>
  <c r="N17" i="1"/>
  <c r="G8" i="1"/>
  <c r="E8" i="1"/>
  <c r="D8" i="1"/>
  <c r="G7" i="1"/>
  <c r="E7" i="1"/>
  <c r="D7" i="1"/>
  <c r="G6" i="1"/>
  <c r="N16" i="1" s="1"/>
  <c r="E6" i="1"/>
  <c r="D6" i="1"/>
  <c r="G5" i="1"/>
  <c r="E5" i="1"/>
  <c r="D5" i="1"/>
  <c r="G4" i="1"/>
  <c r="N13" i="1" s="1"/>
  <c r="E4" i="1"/>
  <c r="D4" i="1"/>
  <c r="O42" i="1" l="1"/>
  <c r="O40" i="1"/>
  <c r="N39" i="1"/>
  <c r="N46" i="1" s="1"/>
  <c r="O41" i="1"/>
  <c r="O30" i="1"/>
  <c r="N34" i="1"/>
  <c r="N15" i="1"/>
  <c r="O28" i="1" s="1"/>
  <c r="N33" i="1"/>
  <c r="N20" i="1"/>
  <c r="O29" i="1"/>
  <c r="N14" i="1"/>
  <c r="O26" i="1"/>
  <c r="O39" i="1" l="1"/>
  <c r="N21" i="1"/>
  <c r="O27" i="1"/>
</calcChain>
</file>

<file path=xl/sharedStrings.xml><?xml version="1.0" encoding="utf-8"?>
<sst xmlns="http://schemas.openxmlformats.org/spreadsheetml/2006/main" count="423" uniqueCount="76">
  <si>
    <t>Weekday</t>
  </si>
  <si>
    <t>Date</t>
  </si>
  <si>
    <t>Total</t>
  </si>
  <si>
    <t>Store</t>
  </si>
  <si>
    <t>Category</t>
  </si>
  <si>
    <t>Day</t>
  </si>
  <si>
    <t>Code</t>
  </si>
  <si>
    <t>First 30 Days</t>
  </si>
  <si>
    <t>Sum/category</t>
  </si>
  <si>
    <t>A</t>
  </si>
  <si>
    <t>Food and household</t>
  </si>
  <si>
    <t>B</t>
  </si>
  <si>
    <t>Food</t>
  </si>
  <si>
    <t>D</t>
  </si>
  <si>
    <t>Household</t>
  </si>
  <si>
    <t>C</t>
  </si>
  <si>
    <t>Clothes</t>
  </si>
  <si>
    <t>E</t>
  </si>
  <si>
    <t>Hygiene</t>
  </si>
  <si>
    <t>All</t>
  </si>
  <si>
    <t>Verify</t>
  </si>
  <si>
    <t>Second 30 Days</t>
  </si>
  <si>
    <t>Current-Previous</t>
  </si>
  <si>
    <t>Third 30 Days</t>
  </si>
  <si>
    <t>Trend: First 30 Days</t>
  </si>
  <si>
    <t>Trend: Second 30 Days</t>
  </si>
  <si>
    <t>Trend: Last 30 Days</t>
  </si>
  <si>
    <t>Grand Total</t>
  </si>
  <si>
    <t>(blank)</t>
  </si>
  <si>
    <t>Monday</t>
  </si>
  <si>
    <t>Sunday</t>
  </si>
  <si>
    <t>Friday</t>
  </si>
  <si>
    <t>Tuesday</t>
  </si>
  <si>
    <t>Wednesday</t>
  </si>
  <si>
    <t>Thursday</t>
  </si>
  <si>
    <t>Saturday</t>
  </si>
  <si>
    <t>Nr of food purchases</t>
  </si>
  <si>
    <t>First 30 days</t>
  </si>
  <si>
    <t>Second 30 days</t>
  </si>
  <si>
    <t>Last 30 days</t>
  </si>
  <si>
    <t>Food purchases/weekday</t>
  </si>
  <si>
    <t>Interesting questions to ask yourself..</t>
  </si>
  <si>
    <t>The stores listed per category. Pivot Table.</t>
  </si>
  <si>
    <t>Row Labels (Store and Category columns)</t>
  </si>
  <si>
    <t>SupermarketA</t>
  </si>
  <si>
    <t>SupermarketB</t>
  </si>
  <si>
    <t>SupermarketC</t>
  </si>
  <si>
    <t>ClothingStoreA</t>
  </si>
  <si>
    <t>HouseholdStoreA</t>
  </si>
  <si>
    <t>HygieneStoreA</t>
  </si>
  <si>
    <t>SupermarketD</t>
  </si>
  <si>
    <t>ClothingStoreB</t>
  </si>
  <si>
    <t>HouseholdStoreB</t>
  </si>
  <si>
    <t>HouseholdStoreC</t>
  </si>
  <si>
    <t>ClothingStoreC</t>
  </si>
  <si>
    <t>SupermarketE</t>
  </si>
  <si>
    <t>HygieneStoreB</t>
  </si>
  <si>
    <t>SupermarketF</t>
  </si>
  <si>
    <t>ClothingStoreD</t>
  </si>
  <si>
    <t>SupermarketG</t>
  </si>
  <si>
    <t>ClothingStoreE</t>
  </si>
  <si>
    <t>SupermarketH</t>
  </si>
  <si>
    <t>HouseholdStoreD</t>
  </si>
  <si>
    <t>Which days of the week do you spend the most?</t>
  </si>
  <si>
    <t>How much do you spend weekly on candy?</t>
  </si>
  <si>
    <t>How much do youspend weekly on food (excluding candy)?</t>
  </si>
  <si>
    <t>How much do you spend on an average day?</t>
  </si>
  <si>
    <t>How much do you spend on an average week?</t>
  </si>
  <si>
    <t>Which stores do you go to the most?</t>
  </si>
  <si>
    <t>When do you go to certain stores (week days)?</t>
  </si>
  <si>
    <t>How much do you spend on clothes monthly?</t>
  </si>
  <si>
    <t>How much do you spend on hygiene monthly?</t>
  </si>
  <si>
    <t>How much do you spend on household monthly?</t>
  </si>
  <si>
    <t>How much do you spend on food monthly?</t>
  </si>
  <si>
    <t>How does your spending correlate in general to your salary payments? (requires noting down Day X for salary payments)</t>
  </si>
  <si>
    <t>Day increment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</si>
</sst>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[$€-413]\ #,##0.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164" fontId="0" fillId="0" borderId="0" xfId="0" applyNumberFormat="1"/>
    <xf numFmtId="15" fontId="0" fillId="0" borderId="0" xfId="0" applyNumberFormat="1"/>
    <xf numFmtId="165" fontId="0" fillId="0" borderId="0" xfId="0" applyNumberFormat="1"/>
    <xf numFmtId="165" fontId="3" fillId="0" borderId="0" xfId="0" applyNumberFormat="1" applyFont="1"/>
    <xf numFmtId="0" fontId="0" fillId="0" borderId="0" xfId="0" applyNumberFormat="1"/>
    <xf numFmtId="165" fontId="0" fillId="0" borderId="0" xfId="0" applyNumberFormat="1" applyFont="1"/>
    <xf numFmtId="165" fontId="4" fillId="0" borderId="0" xfId="0" applyNumberFormat="1" applyFont="1"/>
    <xf numFmtId="0" fontId="0" fillId="0" borderId="0" xfId="0" applyBorder="1"/>
    <xf numFmtId="15" fontId="0" fillId="0" borderId="0" xfId="0" applyNumberFormat="1" applyBorder="1"/>
    <xf numFmtId="165" fontId="0" fillId="0" borderId="0" xfId="0" applyNumberFormat="1" applyBorder="1"/>
    <xf numFmtId="0" fontId="0" fillId="0" borderId="0" xfId="0" applyFont="1" applyFill="1" applyBorder="1"/>
    <xf numFmtId="0" fontId="2" fillId="2" borderId="0" xfId="0" applyFont="1" applyFill="1"/>
    <xf numFmtId="0" fontId="0" fillId="2" borderId="0" xfId="0" applyFill="1"/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500.830737847224" createdVersion="6" refreshedVersion="6" minRefreshableVersion="3" recordCount="51" xr:uid="{9C3AB3E1-43F3-4DDD-B68D-33734CF61553}">
  <cacheSource type="worksheet">
    <worksheetSource ref="D3:J54" sheet="Data"/>
  </cacheSource>
  <cacheFields count="8">
    <cacheField name="Day" numFmtId="0">
      <sharedItems containsString="0" containsBlank="1" containsNumber="1" containsInteger="1" minValue="1" maxValue="7"/>
    </cacheField>
    <cacheField name="Weekday" numFmtId="164">
      <sharedItems containsNonDate="0" containsDate="1" containsString="0" containsBlank="1" minDate="1899-12-31T00:00:00" maxDate="1900-01-07T00:00:00"/>
    </cacheField>
    <cacheField name="Date" numFmtId="15">
      <sharedItems containsNonDate="0" containsDate="1" containsString="0" containsBlank="1" minDate="2018-10-12T00:00:00" maxDate="2018-11-19T00:00:00" count="31">
        <d v="2018-10-12T00:00:00"/>
        <d v="2018-10-13T00:00:00"/>
        <d v="2018-10-14T00:00:00"/>
        <d v="2018-10-15T00:00:00"/>
        <d v="2018-10-17T00:00:00"/>
        <d v="2018-10-21T00:00:00"/>
        <d v="2018-10-22T00:00:00"/>
        <d v="2018-10-23T00:00:00"/>
        <d v="2018-10-25T00:00:00"/>
        <d v="2018-10-26T00:00:00"/>
        <d v="2018-10-28T00:00:00"/>
        <d v="2018-10-29T00:00:00"/>
        <d v="2018-10-30T00:00:00"/>
        <d v="2018-10-31T00:00:00"/>
        <d v="2018-11-01T00:00:00"/>
        <d v="2018-11-02T00:00:00"/>
        <d v="2018-11-03T00:00:00"/>
        <d v="2018-11-04T00:00:00"/>
        <d v="2018-11-05T00:00:00"/>
        <m/>
        <d v="2018-11-06T00:00:00"/>
        <d v="2018-11-07T00:00:00"/>
        <d v="2018-11-09T00:00:00"/>
        <d v="2018-11-11T00:00:00"/>
        <d v="2018-11-12T00:00:00"/>
        <d v="2018-11-13T00:00:00"/>
        <d v="2018-11-14T00:00:00"/>
        <d v="2018-11-15T00:00:00"/>
        <d v="2018-11-16T00:00:00"/>
        <d v="2018-11-17T00:00:00"/>
        <d v="2018-11-18T00:00:00"/>
      </sharedItems>
      <fieldGroup par="7" base="2">
        <rangePr groupBy="days" startDate="2018-10-12T00:00:00" endDate="2018-11-19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1/19/2018"/>
        </groupItems>
      </fieldGroup>
    </cacheField>
    <cacheField name="Total" numFmtId="165">
      <sharedItems containsString="0" containsBlank="1" containsNumber="1" minValue="1.89" maxValue="54.45" count="50">
        <n v="35.410000000000011"/>
        <n v="12.650000000000002"/>
        <n v="33.07"/>
        <n v="8"/>
        <n v="54.45"/>
        <n v="9.5500000000000007"/>
        <n v="15.510000000000003"/>
        <n v="4.3599999999999994"/>
        <n v="4.53"/>
        <n v="15.68"/>
        <n v="8.34"/>
        <n v="3.7699999999999996"/>
        <n v="11.58"/>
        <n v="8.5"/>
        <n v="3.95"/>
        <n v="3.44"/>
        <n v="2.96"/>
        <n v="5.339999999999999"/>
        <n v="3.3099999999999996"/>
        <n v="5.23"/>
        <n v="16.920000000000002"/>
        <n v="6.36"/>
        <n v="6.4099999999999993"/>
        <n v="4.6500000000000004"/>
        <n v="7.12"/>
        <n v="2.59"/>
        <n v="4.58"/>
        <n v="17.04"/>
        <n v="2.92"/>
        <n v="6.339999999999999"/>
        <m/>
        <n v="6.1099999999999994"/>
        <n v="9.3800000000000008"/>
        <n v="9.0399999999999991"/>
        <n v="10.38"/>
        <n v="2.4300000000000002"/>
        <n v="10.78"/>
        <n v="6.9"/>
        <n v="8.370000000000001"/>
        <n v="4.8600000000000003"/>
        <n v="25"/>
        <n v="19.46"/>
        <n v="15.15"/>
        <n v="6"/>
        <n v="1.89"/>
        <n v="12.25"/>
        <n v="3.54"/>
        <n v="4"/>
        <n v="17.989999999999998"/>
        <n v="8.0300000000000011"/>
      </sharedItems>
    </cacheField>
    <cacheField name="Store" numFmtId="0">
      <sharedItems containsBlank="1" count="24">
        <s v="SupermarketA"/>
        <s v="SupermarketB"/>
        <s v="ClothingStoreA"/>
        <s v="HouseholdStoreA"/>
        <s v="HygieneStoreA"/>
        <s v="SupermarketC"/>
        <s v="SupermarketD"/>
        <m/>
        <s v="ClothingStoreB"/>
        <s v="HouseholdStoreB"/>
        <s v="HouseholdStoreC"/>
        <s v="ClothingStoreC"/>
        <s v="HEMA, Kalverpassage" u="1"/>
        <s v="Trekpleister, Marie Heinekenplein 25" u="1"/>
        <s v="Blokker, Ferdinand Bolstraat 100" u="1"/>
        <s v="Holland &amp; Barrett, Ferdinand Bolstraat 114" u="1"/>
        <s v="Perry, Kalverstraat 99" u="1"/>
        <s v="Douglas, Kalverstraat 71" u="1"/>
        <s v="HEMA, Ferdinand Bolstraat 93-93a" u="1"/>
        <s v="Albert Heijn, Cornelis Troostplein 11" u="1"/>
        <s v="Coop, Eerste Jan Steenstraat 53" u="1"/>
        <s v="Jumbo, Ferdinand Bolstraat 89B" u="1"/>
        <s v="H&amp;M, Kalverstraat 181-183" u="1"/>
        <s v="Etos, Ferdinand Bolstraat 84-86" u="1"/>
      </sharedItems>
    </cacheField>
    <cacheField name="Category" numFmtId="0">
      <sharedItems containsBlank="1" count="6">
        <s v="A"/>
        <s v="B"/>
        <s v="D"/>
        <s v="C"/>
        <s v="E"/>
        <m/>
      </sharedItems>
    </cacheField>
    <cacheField name="Day2" numFmtId="0">
      <sharedItems containsString="0" containsBlank="1" containsNumber="1" containsInteger="1" minValue="1" maxValue="30"/>
    </cacheField>
    <cacheField name="Months" numFmtId="0" databaseField="0">
      <fieldGroup base="2">
        <rangePr groupBy="months" startDate="2018-10-12T00:00:00" endDate="2018-11-19T00:00:00"/>
        <groupItems count="14">
          <s v="&lt;10/12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1/19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">
  <r>
    <n v="6"/>
    <d v="1900-01-05T00:00:00"/>
    <x v="0"/>
    <x v="0"/>
    <x v="0"/>
    <x v="0"/>
    <n v="1"/>
  </r>
  <r>
    <n v="6"/>
    <d v="1900-01-05T00:00:00"/>
    <x v="0"/>
    <x v="1"/>
    <x v="1"/>
    <x v="1"/>
    <n v="1"/>
  </r>
  <r>
    <n v="6"/>
    <d v="1900-01-05T00:00:00"/>
    <x v="0"/>
    <x v="2"/>
    <x v="2"/>
    <x v="2"/>
    <n v="1"/>
  </r>
  <r>
    <n v="6"/>
    <d v="1900-01-05T00:00:00"/>
    <x v="0"/>
    <x v="3"/>
    <x v="3"/>
    <x v="3"/>
    <n v="1"/>
  </r>
  <r>
    <n v="6"/>
    <d v="1900-01-05T00:00:00"/>
    <x v="0"/>
    <x v="4"/>
    <x v="4"/>
    <x v="4"/>
    <n v="1"/>
  </r>
  <r>
    <n v="7"/>
    <d v="1900-01-06T00:00:00"/>
    <x v="1"/>
    <x v="5"/>
    <x v="1"/>
    <x v="1"/>
    <n v="2"/>
  </r>
  <r>
    <n v="1"/>
    <d v="1899-12-31T00:00:00"/>
    <x v="2"/>
    <x v="6"/>
    <x v="1"/>
    <x v="1"/>
    <n v="3"/>
  </r>
  <r>
    <n v="2"/>
    <d v="1900-01-01T00:00:00"/>
    <x v="3"/>
    <x v="7"/>
    <x v="1"/>
    <x v="1"/>
    <n v="4"/>
  </r>
  <r>
    <n v="4"/>
    <d v="1900-01-03T00:00:00"/>
    <x v="4"/>
    <x v="8"/>
    <x v="1"/>
    <x v="1"/>
    <n v="5"/>
  </r>
  <r>
    <n v="1"/>
    <d v="1899-12-31T00:00:00"/>
    <x v="5"/>
    <x v="9"/>
    <x v="1"/>
    <x v="1"/>
    <n v="6"/>
  </r>
  <r>
    <n v="2"/>
    <d v="1900-01-01T00:00:00"/>
    <x v="6"/>
    <x v="10"/>
    <x v="1"/>
    <x v="1"/>
    <n v="7"/>
  </r>
  <r>
    <n v="3"/>
    <d v="1900-01-02T00:00:00"/>
    <x v="7"/>
    <x v="11"/>
    <x v="1"/>
    <x v="1"/>
    <n v="8"/>
  </r>
  <r>
    <n v="5"/>
    <d v="1900-01-04T00:00:00"/>
    <x v="8"/>
    <x v="12"/>
    <x v="1"/>
    <x v="1"/>
    <n v="9"/>
  </r>
  <r>
    <n v="6"/>
    <d v="1900-01-05T00:00:00"/>
    <x v="9"/>
    <x v="13"/>
    <x v="1"/>
    <x v="1"/>
    <n v="10"/>
  </r>
  <r>
    <n v="1"/>
    <d v="1899-12-31T00:00:00"/>
    <x v="10"/>
    <x v="14"/>
    <x v="1"/>
    <x v="1"/>
    <n v="11"/>
  </r>
  <r>
    <n v="2"/>
    <d v="1900-01-01T00:00:00"/>
    <x v="11"/>
    <x v="15"/>
    <x v="1"/>
    <x v="1"/>
    <n v="12"/>
  </r>
  <r>
    <n v="2"/>
    <d v="1900-01-01T00:00:00"/>
    <x v="11"/>
    <x v="16"/>
    <x v="1"/>
    <x v="1"/>
    <n v="12"/>
  </r>
  <r>
    <n v="3"/>
    <d v="1900-01-02T00:00:00"/>
    <x v="12"/>
    <x v="17"/>
    <x v="1"/>
    <x v="1"/>
    <n v="13"/>
  </r>
  <r>
    <n v="3"/>
    <d v="1900-01-02T00:00:00"/>
    <x v="12"/>
    <x v="18"/>
    <x v="1"/>
    <x v="1"/>
    <n v="13"/>
  </r>
  <r>
    <n v="4"/>
    <d v="1900-01-03T00:00:00"/>
    <x v="13"/>
    <x v="19"/>
    <x v="5"/>
    <x v="1"/>
    <n v="14"/>
  </r>
  <r>
    <n v="5"/>
    <d v="1900-01-04T00:00:00"/>
    <x v="14"/>
    <x v="20"/>
    <x v="0"/>
    <x v="1"/>
    <n v="15"/>
  </r>
  <r>
    <n v="6"/>
    <d v="1900-01-05T00:00:00"/>
    <x v="15"/>
    <x v="21"/>
    <x v="0"/>
    <x v="1"/>
    <n v="16"/>
  </r>
  <r>
    <n v="6"/>
    <d v="1900-01-05T00:00:00"/>
    <x v="15"/>
    <x v="22"/>
    <x v="1"/>
    <x v="1"/>
    <n v="16"/>
  </r>
  <r>
    <n v="7"/>
    <d v="1900-01-06T00:00:00"/>
    <x v="16"/>
    <x v="23"/>
    <x v="1"/>
    <x v="1"/>
    <n v="17"/>
  </r>
  <r>
    <n v="7"/>
    <d v="1900-01-06T00:00:00"/>
    <x v="16"/>
    <x v="24"/>
    <x v="5"/>
    <x v="1"/>
    <n v="17"/>
  </r>
  <r>
    <n v="1"/>
    <d v="1899-12-31T00:00:00"/>
    <x v="17"/>
    <x v="25"/>
    <x v="1"/>
    <x v="1"/>
    <n v="18"/>
  </r>
  <r>
    <n v="1"/>
    <d v="1899-12-31T00:00:00"/>
    <x v="17"/>
    <x v="26"/>
    <x v="4"/>
    <x v="3"/>
    <n v="18"/>
  </r>
  <r>
    <n v="1"/>
    <d v="1899-12-31T00:00:00"/>
    <x v="17"/>
    <x v="27"/>
    <x v="6"/>
    <x v="1"/>
    <n v="18"/>
  </r>
  <r>
    <n v="1"/>
    <d v="1899-12-31T00:00:00"/>
    <x v="17"/>
    <x v="28"/>
    <x v="1"/>
    <x v="1"/>
    <n v="18"/>
  </r>
  <r>
    <n v="2"/>
    <d v="1900-01-01T00:00:00"/>
    <x v="18"/>
    <x v="29"/>
    <x v="1"/>
    <x v="1"/>
    <n v="19"/>
  </r>
  <r>
    <m/>
    <m/>
    <x v="19"/>
    <x v="30"/>
    <x v="7"/>
    <x v="5"/>
    <m/>
  </r>
  <r>
    <n v="3"/>
    <d v="1900-01-02T00:00:00"/>
    <x v="20"/>
    <x v="31"/>
    <x v="1"/>
    <x v="1"/>
    <n v="20"/>
  </r>
  <r>
    <n v="4"/>
    <d v="1900-01-03T00:00:00"/>
    <x v="21"/>
    <x v="32"/>
    <x v="1"/>
    <x v="1"/>
    <n v="21"/>
  </r>
  <r>
    <n v="6"/>
    <d v="1900-01-05T00:00:00"/>
    <x v="22"/>
    <x v="33"/>
    <x v="5"/>
    <x v="1"/>
    <n v="22"/>
  </r>
  <r>
    <n v="1"/>
    <d v="1899-12-31T00:00:00"/>
    <x v="23"/>
    <x v="34"/>
    <x v="5"/>
    <x v="1"/>
    <n v="23"/>
  </r>
  <r>
    <n v="2"/>
    <d v="1900-01-01T00:00:00"/>
    <x v="24"/>
    <x v="35"/>
    <x v="1"/>
    <x v="0"/>
    <n v="24"/>
  </r>
  <r>
    <n v="3"/>
    <d v="1900-01-02T00:00:00"/>
    <x v="25"/>
    <x v="18"/>
    <x v="1"/>
    <x v="1"/>
    <n v="25"/>
  </r>
  <r>
    <n v="4"/>
    <d v="1900-01-03T00:00:00"/>
    <x v="26"/>
    <x v="36"/>
    <x v="5"/>
    <x v="1"/>
    <n v="26"/>
  </r>
  <r>
    <n v="4"/>
    <d v="1900-01-03T00:00:00"/>
    <x v="26"/>
    <x v="37"/>
    <x v="4"/>
    <x v="4"/>
    <n v="26"/>
  </r>
  <r>
    <n v="4"/>
    <d v="1900-01-03T00:00:00"/>
    <x v="26"/>
    <x v="38"/>
    <x v="8"/>
    <x v="1"/>
    <n v="26"/>
  </r>
  <r>
    <n v="5"/>
    <d v="1900-01-04T00:00:00"/>
    <x v="27"/>
    <x v="39"/>
    <x v="1"/>
    <x v="1"/>
    <n v="27"/>
  </r>
  <r>
    <n v="5"/>
    <d v="1900-01-04T00:00:00"/>
    <x v="27"/>
    <x v="40"/>
    <x v="3"/>
    <x v="3"/>
    <n v="27"/>
  </r>
  <r>
    <n v="6"/>
    <d v="1900-01-05T00:00:00"/>
    <x v="28"/>
    <x v="41"/>
    <x v="9"/>
    <x v="3"/>
    <n v="28"/>
  </r>
  <r>
    <n v="6"/>
    <d v="1900-01-05T00:00:00"/>
    <x v="28"/>
    <x v="42"/>
    <x v="3"/>
    <x v="3"/>
    <n v="28"/>
  </r>
  <r>
    <n v="6"/>
    <d v="1900-01-05T00:00:00"/>
    <x v="28"/>
    <x v="43"/>
    <x v="10"/>
    <x v="3"/>
    <n v="28"/>
  </r>
  <r>
    <n v="6"/>
    <d v="1900-01-05T00:00:00"/>
    <x v="28"/>
    <x v="44"/>
    <x v="5"/>
    <x v="1"/>
    <n v="28"/>
  </r>
  <r>
    <n v="6"/>
    <d v="1900-01-05T00:00:00"/>
    <x v="28"/>
    <x v="45"/>
    <x v="3"/>
    <x v="3"/>
    <n v="28"/>
  </r>
  <r>
    <n v="7"/>
    <d v="1900-01-06T00:00:00"/>
    <x v="29"/>
    <x v="46"/>
    <x v="1"/>
    <x v="1"/>
    <n v="29"/>
  </r>
  <r>
    <n v="7"/>
    <d v="1900-01-06T00:00:00"/>
    <x v="29"/>
    <x v="47"/>
    <x v="3"/>
    <x v="3"/>
    <n v="29"/>
  </r>
  <r>
    <n v="1"/>
    <d v="1899-12-31T00:00:00"/>
    <x v="30"/>
    <x v="48"/>
    <x v="11"/>
    <x v="4"/>
    <n v="30"/>
  </r>
  <r>
    <n v="1"/>
    <d v="1899-12-31T00:00:00"/>
    <x v="30"/>
    <x v="49"/>
    <x v="5"/>
    <x v="1"/>
    <n v="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19A6EF-DD85-4248-B36A-C793884DA5E1}" name="PivotTable7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Row Labels (Store and Category columns)">
  <location ref="A4:A26" firstHeaderRow="1" firstDataRow="1" firstDataCol="1"/>
  <pivotFields count="8">
    <pivotField showAll="0"/>
    <pivotField showAll="0"/>
    <pivotField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>
      <items count="51">
        <item x="44"/>
        <item x="35"/>
        <item x="25"/>
        <item x="28"/>
        <item x="16"/>
        <item x="18"/>
        <item x="15"/>
        <item x="46"/>
        <item x="11"/>
        <item x="14"/>
        <item x="47"/>
        <item x="7"/>
        <item x="8"/>
        <item x="26"/>
        <item x="23"/>
        <item x="39"/>
        <item x="19"/>
        <item x="17"/>
        <item x="43"/>
        <item x="31"/>
        <item x="29"/>
        <item x="21"/>
        <item x="22"/>
        <item x="37"/>
        <item x="24"/>
        <item x="3"/>
        <item x="49"/>
        <item x="10"/>
        <item x="38"/>
        <item x="13"/>
        <item x="33"/>
        <item x="32"/>
        <item x="5"/>
        <item x="34"/>
        <item x="36"/>
        <item x="12"/>
        <item x="45"/>
        <item x="1"/>
        <item x="42"/>
        <item x="6"/>
        <item x="9"/>
        <item x="20"/>
        <item x="27"/>
        <item x="48"/>
        <item x="41"/>
        <item x="40"/>
        <item x="2"/>
        <item x="0"/>
        <item x="4"/>
        <item x="30"/>
        <item t="default"/>
      </items>
    </pivotField>
    <pivotField axis="axisRow" showAll="0">
      <items count="25">
        <item m="1" x="19"/>
        <item m="1" x="14"/>
        <item m="1" x="20"/>
        <item m="1" x="17"/>
        <item m="1" x="23"/>
        <item m="1" x="22"/>
        <item m="1" x="18"/>
        <item m="1" x="12"/>
        <item m="1" x="15"/>
        <item m="1" x="21"/>
        <item m="1" x="16"/>
        <item m="1" x="13"/>
        <item x="7"/>
        <item x="0"/>
        <item x="1"/>
        <item x="2"/>
        <item x="3"/>
        <item x="5"/>
        <item x="4"/>
        <item x="6"/>
        <item x="8"/>
        <item x="9"/>
        <item x="10"/>
        <item x="11"/>
        <item t="default"/>
      </items>
    </pivotField>
    <pivotField axis="axisRow" showAll="0">
      <items count="7">
        <item x="0"/>
        <item x="1"/>
        <item x="3"/>
        <item x="2"/>
        <item x="4"/>
        <item x="5"/>
        <item t="default"/>
      </items>
    </pivotField>
    <pivotField showAll="0"/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5"/>
    <field x="4"/>
  </rowFields>
  <rowItems count="22">
    <i>
      <x/>
    </i>
    <i r="1">
      <x v="13"/>
    </i>
    <i r="1">
      <x v="14"/>
    </i>
    <i>
      <x v="1"/>
    </i>
    <i r="1">
      <x v="13"/>
    </i>
    <i r="1">
      <x v="14"/>
    </i>
    <i r="1">
      <x v="17"/>
    </i>
    <i r="1">
      <x v="19"/>
    </i>
    <i r="1">
      <x v="20"/>
    </i>
    <i>
      <x v="2"/>
    </i>
    <i r="1">
      <x v="16"/>
    </i>
    <i r="1">
      <x v="18"/>
    </i>
    <i r="1">
      <x v="21"/>
    </i>
    <i r="1">
      <x v="22"/>
    </i>
    <i>
      <x v="3"/>
    </i>
    <i r="1">
      <x v="15"/>
    </i>
    <i>
      <x v="4"/>
    </i>
    <i r="1">
      <x v="18"/>
    </i>
    <i r="1">
      <x v="23"/>
    </i>
    <i>
      <x v="5"/>
    </i>
    <i r="1">
      <x v="12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0183B-064F-4A64-9C47-8EFAB4192663}">
  <dimension ref="D3:R156"/>
  <sheetViews>
    <sheetView tabSelected="1" topLeftCell="A145" zoomScaleNormal="100" workbookViewId="0">
      <selection activeCell="B17" sqref="B17"/>
    </sheetView>
  </sheetViews>
  <sheetFormatPr defaultRowHeight="15" x14ac:dyDescent="0.25"/>
  <cols>
    <col min="3" max="3" width="17.140625" customWidth="1"/>
    <col min="4" max="4" width="4.42578125" bestFit="1" customWidth="1"/>
    <col min="6" max="6" width="15.140625" customWidth="1"/>
    <col min="8" max="8" width="37.85546875" customWidth="1"/>
    <col min="9" max="9" width="9.140625" bestFit="1" customWidth="1"/>
    <col min="10" max="10" width="13.5703125" customWidth="1"/>
    <col min="13" max="13" width="18.85546875" customWidth="1"/>
    <col min="14" max="14" width="15.7109375" customWidth="1"/>
    <col min="15" max="15" width="16.5703125" customWidth="1"/>
    <col min="16" max="16" width="29" customWidth="1"/>
    <col min="17" max="17" width="18" customWidth="1"/>
    <col min="18" max="18" width="18.7109375" customWidth="1"/>
  </cols>
  <sheetData>
    <row r="3" spans="4:18" x14ac:dyDescent="0.25">
      <c r="D3" s="13" t="s">
        <v>5</v>
      </c>
      <c r="E3" s="13" t="s">
        <v>0</v>
      </c>
      <c r="F3" s="13" t="s">
        <v>1</v>
      </c>
      <c r="G3" s="13" t="s">
        <v>2</v>
      </c>
      <c r="H3" s="13" t="s">
        <v>3</v>
      </c>
      <c r="I3" s="13" t="s">
        <v>4</v>
      </c>
      <c r="J3" s="13" t="s">
        <v>75</v>
      </c>
      <c r="M3" s="13" t="s">
        <v>4</v>
      </c>
      <c r="N3" s="13" t="s">
        <v>6</v>
      </c>
      <c r="O3" s="14"/>
      <c r="R3" s="1"/>
    </row>
    <row r="4" spans="4:18" x14ac:dyDescent="0.25">
      <c r="D4" s="19">
        <f t="shared" ref="D4:D33" si="0">WEEKDAY(F4)</f>
        <v>6</v>
      </c>
      <c r="E4" s="2">
        <f t="shared" ref="E4:E33" si="1">WEEKDAY(F4)</f>
        <v>6</v>
      </c>
      <c r="F4" s="3">
        <v>43385</v>
      </c>
      <c r="G4" s="4">
        <f>4.38+2.49+1.89+2.7+1.65+0.95+3.5+2.49+2.19+1.98+2.99+3.75+0.5+3.95</f>
        <v>35.410000000000011</v>
      </c>
      <c r="H4" t="s">
        <v>44</v>
      </c>
      <c r="I4" t="s">
        <v>9</v>
      </c>
      <c r="J4" s="19">
        <v>1</v>
      </c>
      <c r="M4" t="s">
        <v>10</v>
      </c>
      <c r="N4" t="s">
        <v>9</v>
      </c>
      <c r="R4" s="4"/>
    </row>
    <row r="5" spans="4:18" x14ac:dyDescent="0.25">
      <c r="D5" s="19">
        <f t="shared" si="0"/>
        <v>6</v>
      </c>
      <c r="E5" s="2">
        <f t="shared" si="1"/>
        <v>6</v>
      </c>
      <c r="F5" s="3">
        <v>43385</v>
      </c>
      <c r="G5" s="4">
        <f>1.45+1.64+2.32+2.03+1.13+1.37+1.66+0.75+0.3</f>
        <v>12.650000000000002</v>
      </c>
      <c r="H5" t="s">
        <v>45</v>
      </c>
      <c r="I5" t="s">
        <v>11</v>
      </c>
      <c r="J5" s="19">
        <v>1</v>
      </c>
      <c r="M5" t="s">
        <v>12</v>
      </c>
      <c r="N5" t="s">
        <v>11</v>
      </c>
      <c r="R5" s="4"/>
    </row>
    <row r="6" spans="4:18" x14ac:dyDescent="0.25">
      <c r="D6" s="19">
        <f t="shared" si="0"/>
        <v>6</v>
      </c>
      <c r="E6" s="2">
        <f t="shared" si="1"/>
        <v>6</v>
      </c>
      <c r="F6" s="3">
        <v>43385</v>
      </c>
      <c r="G6" s="4">
        <f>9.99+0.1+7.99+14.99</f>
        <v>33.07</v>
      </c>
      <c r="H6" t="s">
        <v>47</v>
      </c>
      <c r="I6" t="s">
        <v>13</v>
      </c>
      <c r="J6" s="19">
        <v>1</v>
      </c>
      <c r="M6" t="s">
        <v>14</v>
      </c>
      <c r="N6" t="s">
        <v>15</v>
      </c>
      <c r="R6" s="4"/>
    </row>
    <row r="7" spans="4:18" x14ac:dyDescent="0.25">
      <c r="D7" s="19">
        <f t="shared" si="0"/>
        <v>6</v>
      </c>
      <c r="E7" s="2">
        <f t="shared" si="1"/>
        <v>6</v>
      </c>
      <c r="F7" s="3">
        <v>43385</v>
      </c>
      <c r="G7" s="4">
        <f>4+4</f>
        <v>8</v>
      </c>
      <c r="H7" t="s">
        <v>48</v>
      </c>
      <c r="I7" t="s">
        <v>15</v>
      </c>
      <c r="J7" s="19">
        <v>1</v>
      </c>
      <c r="M7" t="s">
        <v>16</v>
      </c>
      <c r="N7" t="s">
        <v>13</v>
      </c>
      <c r="R7" s="4"/>
    </row>
    <row r="8" spans="4:18" x14ac:dyDescent="0.25">
      <c r="D8" s="19">
        <f t="shared" si="0"/>
        <v>6</v>
      </c>
      <c r="E8" s="2">
        <f t="shared" si="1"/>
        <v>6</v>
      </c>
      <c r="F8" s="3">
        <v>43385</v>
      </c>
      <c r="G8" s="4">
        <f>54.45</f>
        <v>54.45</v>
      </c>
      <c r="H8" t="s">
        <v>49</v>
      </c>
      <c r="I8" t="s">
        <v>17</v>
      </c>
      <c r="J8" s="19">
        <v>1</v>
      </c>
      <c r="M8" t="s">
        <v>18</v>
      </c>
      <c r="N8" t="s">
        <v>17</v>
      </c>
      <c r="R8" s="4"/>
    </row>
    <row r="9" spans="4:18" x14ac:dyDescent="0.25">
      <c r="D9" s="19">
        <f t="shared" si="0"/>
        <v>7</v>
      </c>
      <c r="E9" s="2">
        <f t="shared" si="1"/>
        <v>7</v>
      </c>
      <c r="F9" s="3">
        <v>43386</v>
      </c>
      <c r="G9" s="4">
        <f>1.13+0.2+0.89+0.99+1.37+0.89+1.69+2.39</f>
        <v>9.5500000000000007</v>
      </c>
      <c r="H9" t="s">
        <v>45</v>
      </c>
      <c r="I9" t="s">
        <v>11</v>
      </c>
      <c r="J9" s="19">
        <v>2</v>
      </c>
      <c r="R9" s="4"/>
    </row>
    <row r="10" spans="4:18" x14ac:dyDescent="0.25">
      <c r="D10" s="19">
        <f t="shared" si="0"/>
        <v>1</v>
      </c>
      <c r="E10" s="2">
        <f t="shared" si="1"/>
        <v>1</v>
      </c>
      <c r="F10" s="3">
        <v>43387</v>
      </c>
      <c r="G10" s="4">
        <f>1.95+0.1+2.99+2.99+0.8+0.74+2.99+0.3+2.65</f>
        <v>15.510000000000003</v>
      </c>
      <c r="H10" t="s">
        <v>45</v>
      </c>
      <c r="I10" t="s">
        <v>11</v>
      </c>
      <c r="J10" s="19">
        <v>3</v>
      </c>
      <c r="R10" s="6"/>
    </row>
    <row r="11" spans="4:18" x14ac:dyDescent="0.25">
      <c r="D11" s="19">
        <f t="shared" si="0"/>
        <v>2</v>
      </c>
      <c r="E11" s="2">
        <f t="shared" si="1"/>
        <v>2</v>
      </c>
      <c r="F11" s="3">
        <v>43388</v>
      </c>
      <c r="G11" s="4">
        <f>1.2+2.03+1.13</f>
        <v>4.3599999999999994</v>
      </c>
      <c r="H11" t="s">
        <v>45</v>
      </c>
      <c r="I11" t="s">
        <v>11</v>
      </c>
      <c r="J11" s="19">
        <v>4</v>
      </c>
    </row>
    <row r="12" spans="4:18" x14ac:dyDescent="0.25">
      <c r="D12" s="19">
        <f t="shared" si="0"/>
        <v>4</v>
      </c>
      <c r="E12" s="2">
        <f t="shared" si="1"/>
        <v>4</v>
      </c>
      <c r="F12" s="3">
        <v>43390</v>
      </c>
      <c r="G12" s="4">
        <f>1.08+0.46+2.99</f>
        <v>4.53</v>
      </c>
      <c r="H12" t="s">
        <v>45</v>
      </c>
      <c r="I12" t="s">
        <v>11</v>
      </c>
      <c r="J12" s="19">
        <v>5</v>
      </c>
      <c r="M12" s="13" t="s">
        <v>7</v>
      </c>
      <c r="N12" s="13" t="s">
        <v>8</v>
      </c>
    </row>
    <row r="13" spans="4:18" x14ac:dyDescent="0.25">
      <c r="D13" s="19">
        <f t="shared" si="0"/>
        <v>1</v>
      </c>
      <c r="E13" s="2">
        <f t="shared" si="1"/>
        <v>1</v>
      </c>
      <c r="F13" s="3">
        <v>43394</v>
      </c>
      <c r="G13" s="4">
        <f>0.82+0.99+2.5+1+2.21+1.99+1.85+0.95+1.04+0.9+0.3+1.13</f>
        <v>15.68</v>
      </c>
      <c r="H13" t="s">
        <v>45</v>
      </c>
      <c r="I13" t="s">
        <v>11</v>
      </c>
      <c r="J13" s="19">
        <v>6</v>
      </c>
      <c r="M13" t="s">
        <v>10</v>
      </c>
      <c r="N13" s="4">
        <f>SUMIF(I4:I54,"A",G4:G54)</f>
        <v>37.840000000000011</v>
      </c>
    </row>
    <row r="14" spans="4:18" x14ac:dyDescent="0.25">
      <c r="D14" s="19">
        <f t="shared" si="0"/>
        <v>2</v>
      </c>
      <c r="E14" s="2">
        <f t="shared" si="1"/>
        <v>2</v>
      </c>
      <c r="F14" s="3">
        <v>43395</v>
      </c>
      <c r="G14" s="4">
        <f>2.5+1.85+1.66+2.03+0.3</f>
        <v>8.34</v>
      </c>
      <c r="H14" t="s">
        <v>45</v>
      </c>
      <c r="I14" t="s">
        <v>11</v>
      </c>
      <c r="J14" s="19">
        <v>7</v>
      </c>
      <c r="M14" t="s">
        <v>12</v>
      </c>
      <c r="N14" s="5">
        <f>SUMIF(I4:I54,"B",G4:G54)</f>
        <v>264.74</v>
      </c>
    </row>
    <row r="15" spans="4:18" x14ac:dyDescent="0.25">
      <c r="D15" s="19">
        <f t="shared" si="0"/>
        <v>3</v>
      </c>
      <c r="E15" s="2">
        <f t="shared" si="1"/>
        <v>3</v>
      </c>
      <c r="F15" s="3">
        <v>43396</v>
      </c>
      <c r="G15" s="4">
        <f>0.84+1.04+1.89</f>
        <v>3.7699999999999996</v>
      </c>
      <c r="H15" t="s">
        <v>45</v>
      </c>
      <c r="I15" t="s">
        <v>11</v>
      </c>
      <c r="J15" s="19">
        <v>8</v>
      </c>
      <c r="M15" t="s">
        <v>14</v>
      </c>
      <c r="N15" s="4">
        <f>SUMIF(I4:I54,"C",G4:G54)</f>
        <v>94.44</v>
      </c>
    </row>
    <row r="16" spans="4:18" x14ac:dyDescent="0.25">
      <c r="D16" s="19">
        <f t="shared" si="0"/>
        <v>5</v>
      </c>
      <c r="E16" s="2">
        <f t="shared" si="1"/>
        <v>5</v>
      </c>
      <c r="F16" s="3">
        <v>43398</v>
      </c>
      <c r="G16" s="4">
        <f>2.26+0.84+1.04+0.89+0.3+1.99+2.03+2.23</f>
        <v>11.58</v>
      </c>
      <c r="H16" t="s">
        <v>45</v>
      </c>
      <c r="I16" t="s">
        <v>11</v>
      </c>
      <c r="J16" s="19">
        <v>9</v>
      </c>
      <c r="M16" t="s">
        <v>16</v>
      </c>
      <c r="N16" s="4">
        <f>SUMIF(I4:I54,"D",G4:G54)</f>
        <v>33.07</v>
      </c>
    </row>
    <row r="17" spans="4:15" x14ac:dyDescent="0.25">
      <c r="D17" s="19">
        <f t="shared" si="0"/>
        <v>6</v>
      </c>
      <c r="E17" s="2">
        <f t="shared" si="1"/>
        <v>6</v>
      </c>
      <c r="F17" s="3">
        <v>43399</v>
      </c>
      <c r="G17" s="4">
        <f>2.03+1.08+1.77+0.84+2.78</f>
        <v>8.5</v>
      </c>
      <c r="H17" t="s">
        <v>45</v>
      </c>
      <c r="I17" t="s">
        <v>11</v>
      </c>
      <c r="J17" s="19">
        <v>10</v>
      </c>
      <c r="M17" t="s">
        <v>18</v>
      </c>
      <c r="N17" s="4">
        <f>SUMIF(I4:I54,"E",G4:G54)</f>
        <v>79.34</v>
      </c>
    </row>
    <row r="18" spans="4:15" x14ac:dyDescent="0.25">
      <c r="D18" s="19">
        <f t="shared" si="0"/>
        <v>1</v>
      </c>
      <c r="E18" s="2">
        <f t="shared" si="1"/>
        <v>1</v>
      </c>
      <c r="F18" s="3">
        <v>43401</v>
      </c>
      <c r="G18" s="4">
        <f>2.49+1.16+0.3</f>
        <v>3.95</v>
      </c>
      <c r="H18" t="s">
        <v>45</v>
      </c>
      <c r="I18" t="s">
        <v>11</v>
      </c>
      <c r="J18" s="19">
        <v>11</v>
      </c>
      <c r="N18" s="4"/>
    </row>
    <row r="19" spans="4:15" x14ac:dyDescent="0.25">
      <c r="D19" s="19">
        <f t="shared" si="0"/>
        <v>2</v>
      </c>
      <c r="E19" s="2">
        <f t="shared" si="1"/>
        <v>2</v>
      </c>
      <c r="F19" s="3">
        <v>43402</v>
      </c>
      <c r="G19" s="4">
        <f>1.04+0.37+2.03</f>
        <v>3.44</v>
      </c>
      <c r="H19" t="s">
        <v>45</v>
      </c>
      <c r="I19" t="s">
        <v>11</v>
      </c>
      <c r="J19" s="19">
        <v>12</v>
      </c>
      <c r="N19" s="4"/>
    </row>
    <row r="20" spans="4:15" x14ac:dyDescent="0.25">
      <c r="D20" s="19">
        <f t="shared" si="0"/>
        <v>2</v>
      </c>
      <c r="E20" s="2">
        <f t="shared" si="1"/>
        <v>2</v>
      </c>
      <c r="F20" s="3">
        <v>43402</v>
      </c>
      <c r="G20" s="4">
        <f>1.22+0.75+0.99</f>
        <v>2.96</v>
      </c>
      <c r="H20" t="s">
        <v>45</v>
      </c>
      <c r="I20" t="s">
        <v>11</v>
      </c>
      <c r="J20" s="19">
        <v>12</v>
      </c>
      <c r="M20" t="s">
        <v>19</v>
      </c>
      <c r="N20" s="4">
        <f>SUM(G4:G54)</f>
        <v>509.43000000000006</v>
      </c>
    </row>
    <row r="21" spans="4:15" x14ac:dyDescent="0.25">
      <c r="D21" s="19">
        <f t="shared" si="0"/>
        <v>3</v>
      </c>
      <c r="E21" s="2">
        <f t="shared" si="1"/>
        <v>3</v>
      </c>
      <c r="F21" s="3">
        <v>43403</v>
      </c>
      <c r="G21" s="4">
        <f>2.26+0.75+2.03+0.3</f>
        <v>5.339999999999999</v>
      </c>
      <c r="H21" t="s">
        <v>45</v>
      </c>
      <c r="I21" t="s">
        <v>11</v>
      </c>
      <c r="J21" s="19">
        <v>13</v>
      </c>
      <c r="M21" t="s">
        <v>20</v>
      </c>
      <c r="N21" s="4">
        <f>SUM(N13:N17)</f>
        <v>509.43000000000006</v>
      </c>
    </row>
    <row r="22" spans="4:15" x14ac:dyDescent="0.25">
      <c r="D22" s="19">
        <f t="shared" si="0"/>
        <v>3</v>
      </c>
      <c r="E22" s="2">
        <f t="shared" si="1"/>
        <v>3</v>
      </c>
      <c r="F22" s="3">
        <v>43403</v>
      </c>
      <c r="G22" s="4">
        <f>1.77+0.84+0.4+0.3</f>
        <v>3.3099999999999996</v>
      </c>
      <c r="H22" t="s">
        <v>45</v>
      </c>
      <c r="I22" t="s">
        <v>11</v>
      </c>
      <c r="J22" s="19">
        <v>13</v>
      </c>
    </row>
    <row r="23" spans="4:15" x14ac:dyDescent="0.25">
      <c r="D23" s="19">
        <f t="shared" si="0"/>
        <v>4</v>
      </c>
      <c r="E23" s="2">
        <f t="shared" si="1"/>
        <v>4</v>
      </c>
      <c r="F23" s="3">
        <v>43404</v>
      </c>
      <c r="G23" s="4">
        <f>0.99+1.45+2.79</f>
        <v>5.23</v>
      </c>
      <c r="H23" t="s">
        <v>46</v>
      </c>
      <c r="I23" t="s">
        <v>11</v>
      </c>
      <c r="J23" s="19">
        <v>14</v>
      </c>
    </row>
    <row r="24" spans="4:15" x14ac:dyDescent="0.25">
      <c r="D24" s="19">
        <f t="shared" si="0"/>
        <v>5</v>
      </c>
      <c r="E24" s="2">
        <f t="shared" si="1"/>
        <v>5</v>
      </c>
      <c r="F24" s="3">
        <v>43405</v>
      </c>
      <c r="G24" s="4">
        <f>6.57+2.99+0.96+0.25+0.8+0.8+4.55</f>
        <v>16.920000000000002</v>
      </c>
      <c r="H24" t="s">
        <v>44</v>
      </c>
      <c r="I24" t="s">
        <v>11</v>
      </c>
      <c r="J24" s="19">
        <v>15</v>
      </c>
    </row>
    <row r="25" spans="4:15" x14ac:dyDescent="0.25">
      <c r="D25" s="19">
        <f t="shared" si="0"/>
        <v>6</v>
      </c>
      <c r="E25" s="2">
        <f t="shared" si="1"/>
        <v>6</v>
      </c>
      <c r="F25" s="3">
        <v>43406</v>
      </c>
      <c r="G25" s="4">
        <f>3.18+3.18</f>
        <v>6.36</v>
      </c>
      <c r="H25" t="s">
        <v>44</v>
      </c>
      <c r="I25" t="s">
        <v>11</v>
      </c>
      <c r="J25" s="19">
        <v>16</v>
      </c>
      <c r="M25" s="13" t="s">
        <v>21</v>
      </c>
      <c r="N25" s="13" t="s">
        <v>8</v>
      </c>
      <c r="O25" s="13" t="s">
        <v>22</v>
      </c>
    </row>
    <row r="26" spans="4:15" x14ac:dyDescent="0.25">
      <c r="D26" s="19">
        <f t="shared" si="0"/>
        <v>6</v>
      </c>
      <c r="E26" s="2">
        <f t="shared" si="1"/>
        <v>6</v>
      </c>
      <c r="F26" s="3">
        <v>43406</v>
      </c>
      <c r="G26" s="4">
        <f>1.63+1.89+1.89+1</f>
        <v>6.4099999999999993</v>
      </c>
      <c r="H26" t="s">
        <v>45</v>
      </c>
      <c r="I26" t="s">
        <v>11</v>
      </c>
      <c r="J26" s="19">
        <v>16</v>
      </c>
      <c r="M26" t="s">
        <v>10</v>
      </c>
      <c r="N26" s="4">
        <f>SUMIF(I55:I106,"A",G55:G106)</f>
        <v>0</v>
      </c>
      <c r="O26" s="4">
        <f>N26-N13</f>
        <v>-37.840000000000011</v>
      </c>
    </row>
    <row r="27" spans="4:15" x14ac:dyDescent="0.25">
      <c r="D27" s="19">
        <f t="shared" si="0"/>
        <v>7</v>
      </c>
      <c r="E27" s="2">
        <f t="shared" si="1"/>
        <v>7</v>
      </c>
      <c r="F27" s="3">
        <v>43407</v>
      </c>
      <c r="G27" s="4">
        <f>1.13+0.99+0.84+1.69</f>
        <v>4.6500000000000004</v>
      </c>
      <c r="H27" t="s">
        <v>45</v>
      </c>
      <c r="I27" t="s">
        <v>11</v>
      </c>
      <c r="J27" s="19">
        <v>17</v>
      </c>
      <c r="M27" t="s">
        <v>12</v>
      </c>
      <c r="N27" s="7">
        <f>SUMIF(I55:I106,"B",G55:G106)</f>
        <v>306.80999999999995</v>
      </c>
      <c r="O27" s="8">
        <f>N27-N14</f>
        <v>42.069999999999936</v>
      </c>
    </row>
    <row r="28" spans="4:15" x14ac:dyDescent="0.25">
      <c r="D28" s="19">
        <f t="shared" si="0"/>
        <v>7</v>
      </c>
      <c r="E28" s="2">
        <f t="shared" si="1"/>
        <v>7</v>
      </c>
      <c r="F28" s="3">
        <v>43407</v>
      </c>
      <c r="G28" s="4">
        <f>1.98+2.35+2.49+0.3</f>
        <v>7.12</v>
      </c>
      <c r="H28" t="s">
        <v>46</v>
      </c>
      <c r="I28" t="s">
        <v>11</v>
      </c>
      <c r="J28" s="19">
        <v>17</v>
      </c>
      <c r="M28" t="s">
        <v>14</v>
      </c>
      <c r="N28" s="7">
        <f>SUMIF(I55:I106,"C",G55:G106)</f>
        <v>117.14</v>
      </c>
      <c r="O28" s="8">
        <f>N28-N15</f>
        <v>22.700000000000003</v>
      </c>
    </row>
    <row r="29" spans="4:15" x14ac:dyDescent="0.25">
      <c r="D29" s="19">
        <f t="shared" si="0"/>
        <v>1</v>
      </c>
      <c r="E29" s="2">
        <f t="shared" si="1"/>
        <v>1</v>
      </c>
      <c r="F29" s="3">
        <v>43408</v>
      </c>
      <c r="G29" s="4">
        <f>1.09+0.75+0.75</f>
        <v>2.59</v>
      </c>
      <c r="H29" t="s">
        <v>45</v>
      </c>
      <c r="I29" t="s">
        <v>11</v>
      </c>
      <c r="J29" s="19">
        <v>18</v>
      </c>
      <c r="M29" t="s">
        <v>16</v>
      </c>
      <c r="N29" s="7">
        <f>SUMIF(I55:I106,"D",G55:G106)</f>
        <v>59.69</v>
      </c>
      <c r="O29" s="8">
        <f>N29-N16</f>
        <v>26.619999999999997</v>
      </c>
    </row>
    <row r="30" spans="4:15" x14ac:dyDescent="0.25">
      <c r="D30" s="19">
        <f t="shared" si="0"/>
        <v>1</v>
      </c>
      <c r="E30" s="2">
        <f t="shared" si="1"/>
        <v>1</v>
      </c>
      <c r="F30" s="3">
        <v>43408</v>
      </c>
      <c r="G30" s="4">
        <f>2.29+2.29</f>
        <v>4.58</v>
      </c>
      <c r="H30" t="s">
        <v>49</v>
      </c>
      <c r="I30" t="s">
        <v>15</v>
      </c>
      <c r="J30" s="19">
        <v>18</v>
      </c>
      <c r="M30" t="s">
        <v>18</v>
      </c>
      <c r="N30" s="4">
        <f>SUMIF(I55:I106,"E",G55:G106)</f>
        <v>12.98</v>
      </c>
      <c r="O30" s="4">
        <f>N30-N17</f>
        <v>-66.36</v>
      </c>
    </row>
    <row r="31" spans="4:15" x14ac:dyDescent="0.25">
      <c r="D31" s="19">
        <f t="shared" si="0"/>
        <v>1</v>
      </c>
      <c r="E31" s="2">
        <f t="shared" si="1"/>
        <v>1</v>
      </c>
      <c r="F31" s="3">
        <v>43408</v>
      </c>
      <c r="G31" s="4">
        <f>16.99+0.05</f>
        <v>17.04</v>
      </c>
      <c r="H31" t="s">
        <v>50</v>
      </c>
      <c r="I31" t="s">
        <v>11</v>
      </c>
      <c r="J31" s="19">
        <v>18</v>
      </c>
      <c r="N31" s="4"/>
      <c r="O31" s="4"/>
    </row>
    <row r="32" spans="4:15" x14ac:dyDescent="0.25">
      <c r="D32" s="19">
        <f t="shared" si="0"/>
        <v>1</v>
      </c>
      <c r="E32" s="2">
        <f t="shared" si="1"/>
        <v>1</v>
      </c>
      <c r="F32" s="3">
        <v>43408</v>
      </c>
      <c r="G32" s="4">
        <f>0.95+0.2+1.77</f>
        <v>2.92</v>
      </c>
      <c r="H32" t="s">
        <v>45</v>
      </c>
      <c r="I32" t="s">
        <v>11</v>
      </c>
      <c r="J32" s="19">
        <v>18</v>
      </c>
      <c r="N32" s="4"/>
    </row>
    <row r="33" spans="4:15" x14ac:dyDescent="0.25">
      <c r="D33" s="19">
        <f t="shared" si="0"/>
        <v>2</v>
      </c>
      <c r="E33" s="2">
        <f t="shared" si="1"/>
        <v>2</v>
      </c>
      <c r="F33" s="3">
        <v>43409</v>
      </c>
      <c r="G33" s="4">
        <f>2.26+2.03+1.85+0.2</f>
        <v>6.339999999999999</v>
      </c>
      <c r="H33" t="s">
        <v>45</v>
      </c>
      <c r="I33" t="s">
        <v>11</v>
      </c>
      <c r="J33" s="19">
        <v>19</v>
      </c>
      <c r="M33" t="s">
        <v>19</v>
      </c>
      <c r="N33" s="4">
        <f>SUM(G55:G106)</f>
        <v>496.62</v>
      </c>
    </row>
    <row r="34" spans="4:15" x14ac:dyDescent="0.25">
      <c r="D34" s="19"/>
      <c r="E34" s="2"/>
      <c r="F34" s="3"/>
      <c r="G34" s="4"/>
      <c r="J34" s="19"/>
      <c r="M34" t="s">
        <v>20</v>
      </c>
      <c r="N34" s="4">
        <f>SUM(N26:N30)</f>
        <v>496.61999999999995</v>
      </c>
    </row>
    <row r="35" spans="4:15" x14ac:dyDescent="0.25">
      <c r="D35" s="19">
        <f t="shared" ref="D35:D156" si="2">WEEKDAY(F35)</f>
        <v>3</v>
      </c>
      <c r="E35" s="2">
        <f t="shared" ref="E35:E156" si="3">WEEKDAY(F35)</f>
        <v>3</v>
      </c>
      <c r="F35" s="3">
        <v>43410</v>
      </c>
      <c r="G35" s="4">
        <f>1.59+2.49+2.03</f>
        <v>6.1099999999999994</v>
      </c>
      <c r="H35" t="s">
        <v>45</v>
      </c>
      <c r="I35" t="s">
        <v>11</v>
      </c>
      <c r="J35" s="19">
        <v>20</v>
      </c>
    </row>
    <row r="36" spans="4:15" x14ac:dyDescent="0.25">
      <c r="D36" s="19">
        <f t="shared" si="2"/>
        <v>4</v>
      </c>
      <c r="E36" s="2">
        <f t="shared" si="3"/>
        <v>4</v>
      </c>
      <c r="F36" s="3">
        <v>43411</v>
      </c>
      <c r="G36" s="4">
        <f>0.2+0.84+2.26+0.95+1.63+1.85+1.65</f>
        <v>9.3800000000000008</v>
      </c>
      <c r="H36" t="s">
        <v>45</v>
      </c>
      <c r="I36" s="9" t="s">
        <v>11</v>
      </c>
      <c r="J36" s="20">
        <v>21</v>
      </c>
      <c r="K36" s="9"/>
      <c r="L36" s="9"/>
    </row>
    <row r="37" spans="4:15" x14ac:dyDescent="0.25">
      <c r="D37" s="19">
        <f t="shared" si="2"/>
        <v>6</v>
      </c>
      <c r="E37" s="2">
        <f t="shared" si="3"/>
        <v>6</v>
      </c>
      <c r="F37" s="10">
        <v>43413</v>
      </c>
      <c r="G37" s="11">
        <f>2.19+0.89+2.29+1.9+0.3+1.47</f>
        <v>9.0399999999999991</v>
      </c>
      <c r="H37" t="s">
        <v>46</v>
      </c>
      <c r="I37" s="12" t="s">
        <v>11</v>
      </c>
      <c r="J37" s="20">
        <v>22</v>
      </c>
      <c r="K37" s="9"/>
      <c r="L37" s="9"/>
      <c r="M37" s="13" t="s">
        <v>23</v>
      </c>
      <c r="N37" s="13" t="s">
        <v>8</v>
      </c>
      <c r="O37" s="13" t="s">
        <v>22</v>
      </c>
    </row>
    <row r="38" spans="4:15" x14ac:dyDescent="0.25">
      <c r="D38" s="19">
        <f t="shared" si="2"/>
        <v>1</v>
      </c>
      <c r="E38" s="2">
        <f t="shared" si="3"/>
        <v>1</v>
      </c>
      <c r="F38" s="3">
        <v>43415</v>
      </c>
      <c r="G38" s="4">
        <f>1.95+0.1+2.35+0.8+2.19+2.99</f>
        <v>10.38</v>
      </c>
      <c r="H38" t="s">
        <v>46</v>
      </c>
      <c r="I38" s="12" t="s">
        <v>11</v>
      </c>
      <c r="J38" s="19">
        <v>23</v>
      </c>
      <c r="M38" t="s">
        <v>10</v>
      </c>
      <c r="N38" s="4">
        <f>SUMIF(I107:I158,"A",G107:G158)</f>
        <v>21.81</v>
      </c>
      <c r="O38" s="8">
        <f>N38-N26</f>
        <v>21.81</v>
      </c>
    </row>
    <row r="39" spans="4:15" x14ac:dyDescent="0.25">
      <c r="D39" s="19">
        <f t="shared" si="2"/>
        <v>2</v>
      </c>
      <c r="E39" s="2">
        <f t="shared" si="3"/>
        <v>2</v>
      </c>
      <c r="F39" s="3">
        <v>43416</v>
      </c>
      <c r="G39" s="4">
        <f>0.78+0.57+0.88+0.2</f>
        <v>2.4300000000000002</v>
      </c>
      <c r="H39" t="s">
        <v>45</v>
      </c>
      <c r="I39" s="12" t="s">
        <v>9</v>
      </c>
      <c r="J39" s="19">
        <v>24</v>
      </c>
      <c r="M39" t="s">
        <v>12</v>
      </c>
      <c r="N39" s="4">
        <f>SUMIF(I107:I158,"B",G107:G158)</f>
        <v>293.07</v>
      </c>
      <c r="O39" s="4">
        <f>N39-N27</f>
        <v>-13.739999999999952</v>
      </c>
    </row>
    <row r="40" spans="4:15" x14ac:dyDescent="0.25">
      <c r="D40" s="19">
        <f t="shared" si="2"/>
        <v>3</v>
      </c>
      <c r="E40" s="2">
        <f t="shared" si="3"/>
        <v>3</v>
      </c>
      <c r="F40" s="3">
        <v>43417</v>
      </c>
      <c r="G40" s="4">
        <f>1.28+2.03</f>
        <v>3.3099999999999996</v>
      </c>
      <c r="H40" t="s">
        <v>45</v>
      </c>
      <c r="I40" s="12" t="s">
        <v>11</v>
      </c>
      <c r="J40" s="19">
        <v>25</v>
      </c>
      <c r="M40" t="s">
        <v>14</v>
      </c>
      <c r="N40" s="4">
        <f>SUMIF(I107:I158,"C",G107:G158)</f>
        <v>49.72</v>
      </c>
      <c r="O40" s="4">
        <f>N40-N28</f>
        <v>-67.42</v>
      </c>
    </row>
    <row r="41" spans="4:15" x14ac:dyDescent="0.25">
      <c r="D41" s="19">
        <f t="shared" si="2"/>
        <v>4</v>
      </c>
      <c r="E41" s="2">
        <f t="shared" si="3"/>
        <v>4</v>
      </c>
      <c r="F41" s="3">
        <v>43418</v>
      </c>
      <c r="G41" s="4">
        <f>1.55+2.99+1.95+0.89+0.3+3.1</f>
        <v>10.78</v>
      </c>
      <c r="H41" t="s">
        <v>46</v>
      </c>
      <c r="I41" s="12" t="s">
        <v>11</v>
      </c>
      <c r="J41" s="19">
        <v>26</v>
      </c>
      <c r="M41" t="s">
        <v>16</v>
      </c>
      <c r="N41" s="4">
        <f>SUMIF(I107:I158,"D",G107:G158)</f>
        <v>164.05999999999997</v>
      </c>
      <c r="O41" s="5">
        <f>N41-N29</f>
        <v>104.36999999999998</v>
      </c>
    </row>
    <row r="42" spans="4:15" x14ac:dyDescent="0.25">
      <c r="D42" s="19">
        <f t="shared" si="2"/>
        <v>4</v>
      </c>
      <c r="E42" s="2">
        <f t="shared" si="3"/>
        <v>4</v>
      </c>
      <c r="F42" s="3">
        <v>43418</v>
      </c>
      <c r="G42" s="4">
        <f>3.45+3.45+3.45+3.45-6.9</f>
        <v>6.9</v>
      </c>
      <c r="H42" t="s">
        <v>49</v>
      </c>
      <c r="I42" s="12" t="s">
        <v>17</v>
      </c>
      <c r="J42" s="19">
        <v>26</v>
      </c>
      <c r="M42" t="s">
        <v>18</v>
      </c>
      <c r="N42" s="4">
        <f>SUMIF(I107:I158,"E",G107:G158)</f>
        <v>16.8</v>
      </c>
      <c r="O42" s="8">
        <f>N42-N30</f>
        <v>3.8200000000000003</v>
      </c>
    </row>
    <row r="43" spans="4:15" x14ac:dyDescent="0.25">
      <c r="D43" s="19">
        <f t="shared" si="2"/>
        <v>4</v>
      </c>
      <c r="E43" s="2">
        <f t="shared" si="3"/>
        <v>4</v>
      </c>
      <c r="F43" s="3">
        <v>43418</v>
      </c>
      <c r="G43" s="4">
        <f>2.39+2.99+2.99</f>
        <v>8.370000000000001</v>
      </c>
      <c r="H43" t="s">
        <v>51</v>
      </c>
      <c r="I43" s="12" t="s">
        <v>11</v>
      </c>
      <c r="J43" s="19">
        <v>26</v>
      </c>
      <c r="N43" s="4"/>
      <c r="O43" s="4"/>
    </row>
    <row r="44" spans="4:15" x14ac:dyDescent="0.25">
      <c r="D44" s="19">
        <f t="shared" si="2"/>
        <v>5</v>
      </c>
      <c r="E44" s="2">
        <f t="shared" si="3"/>
        <v>5</v>
      </c>
      <c r="F44" s="3">
        <v>43419</v>
      </c>
      <c r="G44" s="4">
        <f>0.3+1.77+1.24+1.35+0.2</f>
        <v>4.8600000000000003</v>
      </c>
      <c r="H44" t="s">
        <v>45</v>
      </c>
      <c r="I44" s="12" t="s">
        <v>11</v>
      </c>
      <c r="J44" s="19">
        <v>27</v>
      </c>
      <c r="N44" s="4"/>
    </row>
    <row r="45" spans="4:15" x14ac:dyDescent="0.25">
      <c r="D45" s="19">
        <f t="shared" si="2"/>
        <v>5</v>
      </c>
      <c r="E45" s="2">
        <f t="shared" si="3"/>
        <v>5</v>
      </c>
      <c r="F45" s="3">
        <v>43419</v>
      </c>
      <c r="G45" s="4">
        <f>12.5+12.5</f>
        <v>25</v>
      </c>
      <c r="H45" t="s">
        <v>48</v>
      </c>
      <c r="I45" s="12" t="s">
        <v>15</v>
      </c>
      <c r="J45" s="19">
        <v>27</v>
      </c>
      <c r="M45" t="s">
        <v>19</v>
      </c>
      <c r="N45" s="4">
        <f>SUM(G107:G158)</f>
        <v>545.46000000000015</v>
      </c>
    </row>
    <row r="46" spans="4:15" x14ac:dyDescent="0.25">
      <c r="D46" s="19">
        <f t="shared" si="2"/>
        <v>6</v>
      </c>
      <c r="E46" s="2">
        <f t="shared" si="3"/>
        <v>6</v>
      </c>
      <c r="F46" s="3">
        <v>43420</v>
      </c>
      <c r="G46" s="4">
        <f>14.98+4.48</f>
        <v>19.46</v>
      </c>
      <c r="H46" t="s">
        <v>52</v>
      </c>
      <c r="I46" s="12" t="s">
        <v>15</v>
      </c>
      <c r="J46" s="19">
        <v>28</v>
      </c>
      <c r="M46" t="s">
        <v>20</v>
      </c>
      <c r="N46" s="4">
        <f>SUM(N38:N42)</f>
        <v>545.45999999999992</v>
      </c>
    </row>
    <row r="47" spans="4:15" x14ac:dyDescent="0.25">
      <c r="D47" s="19">
        <f t="shared" si="2"/>
        <v>6</v>
      </c>
      <c r="E47" s="2">
        <f t="shared" si="3"/>
        <v>6</v>
      </c>
      <c r="F47" s="3">
        <v>43420</v>
      </c>
      <c r="G47" s="4">
        <f>15+0.15</f>
        <v>15.15</v>
      </c>
      <c r="H47" t="s">
        <v>48</v>
      </c>
      <c r="I47" s="12" t="s">
        <v>15</v>
      </c>
      <c r="J47" s="19">
        <v>28</v>
      </c>
    </row>
    <row r="48" spans="4:15" x14ac:dyDescent="0.25">
      <c r="D48" s="19">
        <f t="shared" si="2"/>
        <v>6</v>
      </c>
      <c r="E48" s="2">
        <f t="shared" si="3"/>
        <v>6</v>
      </c>
      <c r="F48" s="3">
        <v>43420</v>
      </c>
      <c r="G48" s="4">
        <v>6</v>
      </c>
      <c r="H48" t="s">
        <v>53</v>
      </c>
      <c r="I48" s="12" t="s">
        <v>15</v>
      </c>
      <c r="J48" s="19">
        <v>28</v>
      </c>
    </row>
    <row r="49" spans="4:14" x14ac:dyDescent="0.25">
      <c r="D49" s="19">
        <f t="shared" si="2"/>
        <v>6</v>
      </c>
      <c r="E49" s="2">
        <f t="shared" si="3"/>
        <v>6</v>
      </c>
      <c r="F49" s="3">
        <v>43420</v>
      </c>
      <c r="G49" s="4">
        <f>1.89</f>
        <v>1.89</v>
      </c>
      <c r="H49" t="s">
        <v>46</v>
      </c>
      <c r="I49" s="12" t="s">
        <v>11</v>
      </c>
      <c r="J49" s="19">
        <v>28</v>
      </c>
    </row>
    <row r="50" spans="4:14" x14ac:dyDescent="0.25">
      <c r="D50" s="19">
        <f t="shared" si="2"/>
        <v>6</v>
      </c>
      <c r="E50" s="2">
        <f t="shared" si="3"/>
        <v>6</v>
      </c>
      <c r="F50" s="3">
        <v>43420</v>
      </c>
      <c r="G50" s="4">
        <f>1.75+6.5+4</f>
        <v>12.25</v>
      </c>
      <c r="H50" t="s">
        <v>48</v>
      </c>
      <c r="I50" s="12" t="s">
        <v>15</v>
      </c>
      <c r="J50" s="19">
        <v>28</v>
      </c>
    </row>
    <row r="51" spans="4:14" x14ac:dyDescent="0.25">
      <c r="D51" s="19">
        <f t="shared" si="2"/>
        <v>7</v>
      </c>
      <c r="E51" s="2">
        <f t="shared" si="3"/>
        <v>7</v>
      </c>
      <c r="F51" s="3">
        <v>43421</v>
      </c>
      <c r="G51" s="4">
        <f>2.26+1.28</f>
        <v>3.54</v>
      </c>
      <c r="H51" t="s">
        <v>45</v>
      </c>
      <c r="I51" s="12" t="s">
        <v>11</v>
      </c>
      <c r="J51" s="19">
        <v>29</v>
      </c>
    </row>
    <row r="52" spans="4:14" x14ac:dyDescent="0.25">
      <c r="D52" s="19">
        <f t="shared" si="2"/>
        <v>7</v>
      </c>
      <c r="E52" s="2">
        <f t="shared" si="3"/>
        <v>7</v>
      </c>
      <c r="F52" s="3">
        <v>43421</v>
      </c>
      <c r="G52" s="4">
        <f>4</f>
        <v>4</v>
      </c>
      <c r="H52" t="s">
        <v>48</v>
      </c>
      <c r="I52" s="12" t="s">
        <v>15</v>
      </c>
      <c r="J52" s="19">
        <v>29</v>
      </c>
    </row>
    <row r="53" spans="4:14" x14ac:dyDescent="0.25">
      <c r="D53" s="19">
        <f t="shared" si="2"/>
        <v>1</v>
      </c>
      <c r="E53" s="2">
        <f t="shared" si="3"/>
        <v>1</v>
      </c>
      <c r="F53" s="3">
        <v>43422</v>
      </c>
      <c r="G53" s="4">
        <f>17.99</f>
        <v>17.989999999999998</v>
      </c>
      <c r="H53" t="s">
        <v>54</v>
      </c>
      <c r="I53" s="12" t="s">
        <v>17</v>
      </c>
      <c r="J53" s="19">
        <v>30</v>
      </c>
    </row>
    <row r="54" spans="4:14" x14ac:dyDescent="0.25">
      <c r="D54" s="19">
        <f t="shared" si="2"/>
        <v>1</v>
      </c>
      <c r="E54" s="2">
        <f t="shared" si="3"/>
        <v>1</v>
      </c>
      <c r="F54" s="3">
        <v>43422</v>
      </c>
      <c r="G54" s="4">
        <f>1.4+1.25+0.1+2.29+2.99</f>
        <v>8.0300000000000011</v>
      </c>
      <c r="H54" t="s">
        <v>46</v>
      </c>
      <c r="I54" s="12" t="s">
        <v>11</v>
      </c>
      <c r="J54" s="19">
        <v>30</v>
      </c>
      <c r="K54" s="1" t="s">
        <v>24</v>
      </c>
    </row>
    <row r="55" spans="4:14" x14ac:dyDescent="0.25">
      <c r="D55" s="19">
        <f t="shared" si="2"/>
        <v>2</v>
      </c>
      <c r="E55" s="2">
        <f t="shared" si="3"/>
        <v>2</v>
      </c>
      <c r="F55" s="3">
        <v>43423</v>
      </c>
      <c r="G55" s="4">
        <f>1.13+2.03+1.08+2.49</f>
        <v>6.73</v>
      </c>
      <c r="H55" t="s">
        <v>45</v>
      </c>
      <c r="I55" s="12" t="s">
        <v>11</v>
      </c>
      <c r="J55" s="19">
        <v>31</v>
      </c>
    </row>
    <row r="56" spans="4:14" x14ac:dyDescent="0.25">
      <c r="D56" s="19">
        <f t="shared" si="2"/>
        <v>2</v>
      </c>
      <c r="E56" s="2">
        <f t="shared" si="3"/>
        <v>2</v>
      </c>
      <c r="F56" s="3">
        <v>43423</v>
      </c>
      <c r="G56" s="4">
        <f>2.99</f>
        <v>2.99</v>
      </c>
      <c r="H56" t="s">
        <v>49</v>
      </c>
      <c r="I56" s="12" t="s">
        <v>17</v>
      </c>
      <c r="J56" s="19">
        <v>31</v>
      </c>
    </row>
    <row r="57" spans="4:14" x14ac:dyDescent="0.25">
      <c r="D57" s="19">
        <f t="shared" si="2"/>
        <v>3</v>
      </c>
      <c r="E57" s="2">
        <f t="shared" si="3"/>
        <v>3</v>
      </c>
      <c r="F57" s="3">
        <v>43424</v>
      </c>
      <c r="G57" s="4">
        <f>1</f>
        <v>1</v>
      </c>
      <c r="H57" t="s">
        <v>55</v>
      </c>
      <c r="I57" s="12" t="s">
        <v>11</v>
      </c>
      <c r="J57" s="19">
        <v>32</v>
      </c>
    </row>
    <row r="58" spans="4:14" x14ac:dyDescent="0.25">
      <c r="D58" s="19">
        <f t="shared" si="2"/>
        <v>3</v>
      </c>
      <c r="E58" s="2">
        <f t="shared" si="3"/>
        <v>3</v>
      </c>
      <c r="F58" s="3">
        <v>43424</v>
      </c>
      <c r="G58" s="4">
        <f>1.5+4.99</f>
        <v>6.49</v>
      </c>
      <c r="H58" t="s">
        <v>55</v>
      </c>
      <c r="I58" s="12" t="s">
        <v>11</v>
      </c>
      <c r="J58" s="19">
        <v>32</v>
      </c>
    </row>
    <row r="59" spans="4:14" x14ac:dyDescent="0.25">
      <c r="D59" s="19">
        <f t="shared" si="2"/>
        <v>4</v>
      </c>
      <c r="E59" s="2">
        <f t="shared" si="3"/>
        <v>4</v>
      </c>
      <c r="F59" s="3">
        <v>43425</v>
      </c>
      <c r="G59" s="4">
        <f>2.06</f>
        <v>2.06</v>
      </c>
      <c r="H59" t="s">
        <v>45</v>
      </c>
      <c r="I59" s="12" t="s">
        <v>11</v>
      </c>
      <c r="J59" s="19">
        <v>33</v>
      </c>
    </row>
    <row r="60" spans="4:14" x14ac:dyDescent="0.25">
      <c r="D60" s="19">
        <f t="shared" si="2"/>
        <v>6</v>
      </c>
      <c r="E60" s="2">
        <f t="shared" si="3"/>
        <v>6</v>
      </c>
      <c r="F60" s="3">
        <v>43427</v>
      </c>
      <c r="G60" s="4">
        <f>1.75+1.99+3.58+2+1+2.25+1.09+1.99+1.98+1.39+2.85+0.3+1.72+0.95+2.69-0.56</f>
        <v>26.970000000000002</v>
      </c>
      <c r="H60" t="s">
        <v>46</v>
      </c>
      <c r="I60" s="12" t="s">
        <v>11</v>
      </c>
      <c r="J60" s="19">
        <v>34</v>
      </c>
      <c r="M60" s="13" t="s">
        <v>41</v>
      </c>
      <c r="N60" s="14"/>
    </row>
    <row r="61" spans="4:14" x14ac:dyDescent="0.25">
      <c r="D61" s="19">
        <f t="shared" si="2"/>
        <v>1</v>
      </c>
      <c r="E61" s="2">
        <f t="shared" si="3"/>
        <v>1</v>
      </c>
      <c r="F61" s="3">
        <v>43429</v>
      </c>
      <c r="G61" s="4">
        <f>19.99</f>
        <v>19.989999999999998</v>
      </c>
      <c r="H61" t="s">
        <v>47</v>
      </c>
      <c r="I61" s="12" t="s">
        <v>13</v>
      </c>
      <c r="J61" s="19">
        <v>35</v>
      </c>
      <c r="M61" t="s">
        <v>63</v>
      </c>
    </row>
    <row r="62" spans="4:14" x14ac:dyDescent="0.25">
      <c r="D62" s="19">
        <f t="shared" si="2"/>
        <v>1</v>
      </c>
      <c r="E62" s="2">
        <f t="shared" si="3"/>
        <v>1</v>
      </c>
      <c r="F62" s="3">
        <v>43429</v>
      </c>
      <c r="G62" s="4">
        <f>10</f>
        <v>10</v>
      </c>
      <c r="H62" t="s">
        <v>53</v>
      </c>
      <c r="I62" s="12" t="s">
        <v>15</v>
      </c>
      <c r="J62" s="19">
        <v>35</v>
      </c>
      <c r="M62" t="s">
        <v>64</v>
      </c>
    </row>
    <row r="63" spans="4:14" x14ac:dyDescent="0.25">
      <c r="D63" s="19">
        <f t="shared" si="2"/>
        <v>1</v>
      </c>
      <c r="E63" s="2">
        <f t="shared" si="3"/>
        <v>1</v>
      </c>
      <c r="F63" s="3">
        <v>43429</v>
      </c>
      <c r="G63" s="4">
        <f>1.75+0.99+2.89+0.99+0.3+2.49+0.94</f>
        <v>10.35</v>
      </c>
      <c r="H63" t="s">
        <v>46</v>
      </c>
      <c r="I63" s="12" t="s">
        <v>11</v>
      </c>
      <c r="J63" s="19">
        <v>35</v>
      </c>
      <c r="M63" t="s">
        <v>65</v>
      </c>
    </row>
    <row r="64" spans="4:14" x14ac:dyDescent="0.25">
      <c r="D64" s="19">
        <f t="shared" si="2"/>
        <v>2</v>
      </c>
      <c r="E64" s="2">
        <f t="shared" si="3"/>
        <v>2</v>
      </c>
      <c r="F64" s="3">
        <v>43430</v>
      </c>
      <c r="G64" s="4">
        <f>0.2+1.99+2.88+1.35+1.59</f>
        <v>8.01</v>
      </c>
      <c r="H64" t="s">
        <v>45</v>
      </c>
      <c r="I64" s="12" t="s">
        <v>11</v>
      </c>
      <c r="J64" s="19">
        <v>36</v>
      </c>
      <c r="M64" t="s">
        <v>66</v>
      </c>
    </row>
    <row r="65" spans="4:13" x14ac:dyDescent="0.25">
      <c r="D65" s="19">
        <f t="shared" si="2"/>
        <v>3</v>
      </c>
      <c r="E65" s="2">
        <f t="shared" si="3"/>
        <v>3</v>
      </c>
      <c r="F65" s="3">
        <v>43431</v>
      </c>
      <c r="G65" s="4">
        <f>2.26+0.2+2.06</f>
        <v>4.5199999999999996</v>
      </c>
      <c r="H65" t="s">
        <v>45</v>
      </c>
      <c r="I65" s="12" t="s">
        <v>11</v>
      </c>
      <c r="J65" s="19">
        <v>37</v>
      </c>
      <c r="M65" t="s">
        <v>67</v>
      </c>
    </row>
    <row r="66" spans="4:13" x14ac:dyDescent="0.25">
      <c r="D66" s="19">
        <f t="shared" si="2"/>
        <v>4</v>
      </c>
      <c r="E66" s="2">
        <f t="shared" si="3"/>
        <v>4</v>
      </c>
      <c r="F66" s="3">
        <v>43432</v>
      </c>
      <c r="G66" s="4">
        <f>2.06+6.99</f>
        <v>9.0500000000000007</v>
      </c>
      <c r="H66" t="s">
        <v>45</v>
      </c>
      <c r="I66" s="12" t="s">
        <v>11</v>
      </c>
      <c r="J66" s="19">
        <v>38</v>
      </c>
      <c r="M66" t="s">
        <v>68</v>
      </c>
    </row>
    <row r="67" spans="4:13" x14ac:dyDescent="0.25">
      <c r="D67" s="19">
        <f t="shared" si="2"/>
        <v>5</v>
      </c>
      <c r="E67" s="2">
        <f t="shared" si="3"/>
        <v>5</v>
      </c>
      <c r="F67" s="3">
        <v>43433</v>
      </c>
      <c r="G67" s="4">
        <f>9.99</f>
        <v>9.99</v>
      </c>
      <c r="H67" t="s">
        <v>56</v>
      </c>
      <c r="I67" s="12" t="s">
        <v>17</v>
      </c>
      <c r="J67" s="19">
        <v>39</v>
      </c>
      <c r="M67" t="s">
        <v>69</v>
      </c>
    </row>
    <row r="68" spans="4:13" x14ac:dyDescent="0.25">
      <c r="D68" s="19">
        <f t="shared" si="2"/>
        <v>6</v>
      </c>
      <c r="E68" s="2">
        <f t="shared" si="3"/>
        <v>6</v>
      </c>
      <c r="F68" s="3">
        <v>43434</v>
      </c>
      <c r="G68" s="4">
        <f>1.34+0.2+1.88+0.4</f>
        <v>3.82</v>
      </c>
      <c r="H68" t="s">
        <v>45</v>
      </c>
      <c r="I68" s="12" t="s">
        <v>11</v>
      </c>
      <c r="J68" s="19">
        <v>40</v>
      </c>
      <c r="M68" t="s">
        <v>70</v>
      </c>
    </row>
    <row r="69" spans="4:13" x14ac:dyDescent="0.25">
      <c r="D69" s="19">
        <f t="shared" si="2"/>
        <v>6</v>
      </c>
      <c r="E69" s="2">
        <f t="shared" si="3"/>
        <v>6</v>
      </c>
      <c r="F69" s="3">
        <v>43434</v>
      </c>
      <c r="G69" s="4">
        <f>1.29+0.19+2.99</f>
        <v>4.4700000000000006</v>
      </c>
      <c r="H69" t="s">
        <v>45</v>
      </c>
      <c r="I69" s="12" t="s">
        <v>11</v>
      </c>
      <c r="J69" s="19">
        <v>40</v>
      </c>
      <c r="M69" t="s">
        <v>71</v>
      </c>
    </row>
    <row r="70" spans="4:13" x14ac:dyDescent="0.25">
      <c r="D70" s="19">
        <f t="shared" si="2"/>
        <v>7</v>
      </c>
      <c r="E70" s="2">
        <f t="shared" si="3"/>
        <v>7</v>
      </c>
      <c r="F70" s="3">
        <v>43435</v>
      </c>
      <c r="G70" s="4">
        <v>29.99</v>
      </c>
      <c r="H70" t="s">
        <v>58</v>
      </c>
      <c r="I70" s="12" t="s">
        <v>15</v>
      </c>
      <c r="J70" s="19">
        <v>41</v>
      </c>
      <c r="M70" t="s">
        <v>72</v>
      </c>
    </row>
    <row r="71" spans="4:13" x14ac:dyDescent="0.25">
      <c r="D71" s="19">
        <f t="shared" si="2"/>
        <v>7</v>
      </c>
      <c r="E71" s="2">
        <f t="shared" si="3"/>
        <v>7</v>
      </c>
      <c r="F71" s="3">
        <v>43435</v>
      </c>
      <c r="G71" s="4">
        <f>11.7</f>
        <v>11.7</v>
      </c>
      <c r="H71" t="s">
        <v>48</v>
      </c>
      <c r="I71" s="12" t="s">
        <v>13</v>
      </c>
      <c r="J71" s="19">
        <v>41</v>
      </c>
      <c r="M71" t="s">
        <v>73</v>
      </c>
    </row>
    <row r="72" spans="4:13" x14ac:dyDescent="0.25">
      <c r="D72" s="19">
        <f t="shared" si="2"/>
        <v>7</v>
      </c>
      <c r="E72" s="2">
        <f t="shared" si="3"/>
        <v>7</v>
      </c>
      <c r="F72" s="3">
        <v>43435</v>
      </c>
      <c r="G72" s="4">
        <f>14.99</f>
        <v>14.99</v>
      </c>
      <c r="H72" t="s">
        <v>52</v>
      </c>
      <c r="I72" s="12" t="s">
        <v>15</v>
      </c>
      <c r="J72" s="19">
        <v>41</v>
      </c>
      <c r="M72" t="s">
        <v>74</v>
      </c>
    </row>
    <row r="73" spans="4:13" x14ac:dyDescent="0.25">
      <c r="D73" s="19">
        <f t="shared" si="2"/>
        <v>7</v>
      </c>
      <c r="E73" s="2">
        <f t="shared" si="3"/>
        <v>7</v>
      </c>
      <c r="F73" s="3">
        <v>43435</v>
      </c>
      <c r="G73" s="4">
        <f>0.85+2.99+1.09+3.98+0.3</f>
        <v>9.2100000000000009</v>
      </c>
      <c r="H73" t="s">
        <v>46</v>
      </c>
      <c r="I73" s="12" t="s">
        <v>11</v>
      </c>
      <c r="J73" s="19">
        <v>41</v>
      </c>
    </row>
    <row r="74" spans="4:13" x14ac:dyDescent="0.25">
      <c r="D74" s="19">
        <f t="shared" si="2"/>
        <v>7</v>
      </c>
      <c r="E74" s="2">
        <f t="shared" si="3"/>
        <v>7</v>
      </c>
      <c r="F74" s="3">
        <v>43435</v>
      </c>
      <c r="G74" s="4">
        <f>1+1.29</f>
        <v>2.29</v>
      </c>
      <c r="H74" t="s">
        <v>49</v>
      </c>
      <c r="I74" s="12" t="s">
        <v>15</v>
      </c>
      <c r="J74" s="19">
        <v>41</v>
      </c>
    </row>
    <row r="75" spans="4:13" x14ac:dyDescent="0.25">
      <c r="D75" s="19">
        <f t="shared" si="2"/>
        <v>7</v>
      </c>
      <c r="E75" s="2">
        <f t="shared" si="3"/>
        <v>7</v>
      </c>
      <c r="F75" s="3">
        <v>43435</v>
      </c>
      <c r="G75" s="4">
        <f>2.69+2.99+1.13+0.76</f>
        <v>7.5699999999999994</v>
      </c>
      <c r="H75" t="s">
        <v>45</v>
      </c>
      <c r="I75" s="12" t="s">
        <v>11</v>
      </c>
      <c r="J75" s="19">
        <v>41</v>
      </c>
    </row>
    <row r="76" spans="4:13" x14ac:dyDescent="0.25">
      <c r="D76" s="19">
        <f t="shared" si="2"/>
        <v>1</v>
      </c>
      <c r="E76" s="2">
        <f t="shared" si="3"/>
        <v>1</v>
      </c>
      <c r="F76" s="3">
        <v>43436</v>
      </c>
      <c r="G76" s="4">
        <v>24.99</v>
      </c>
      <c r="H76" t="s">
        <v>50</v>
      </c>
      <c r="I76" s="12" t="s">
        <v>11</v>
      </c>
      <c r="J76" s="19">
        <v>42</v>
      </c>
    </row>
    <row r="77" spans="4:13" x14ac:dyDescent="0.25">
      <c r="D77" s="19">
        <f t="shared" si="2"/>
        <v>1</v>
      </c>
      <c r="E77" s="2">
        <f t="shared" si="3"/>
        <v>1</v>
      </c>
      <c r="F77" s="3">
        <v>43436</v>
      </c>
      <c r="G77" s="4">
        <f>1.49+1.15+2.99+0.3-0.23</f>
        <v>5.6999999999999993</v>
      </c>
      <c r="H77" t="s">
        <v>46</v>
      </c>
      <c r="I77" s="12" t="s">
        <v>11</v>
      </c>
      <c r="J77" s="19">
        <v>42</v>
      </c>
    </row>
    <row r="78" spans="4:13" x14ac:dyDescent="0.25">
      <c r="D78" s="19">
        <f t="shared" si="2"/>
        <v>1</v>
      </c>
      <c r="E78" s="2">
        <f t="shared" si="3"/>
        <v>1</v>
      </c>
      <c r="F78" s="3">
        <v>43436</v>
      </c>
      <c r="G78" s="4">
        <f>2.97+2.95</f>
        <v>5.92</v>
      </c>
      <c r="H78" t="s">
        <v>57</v>
      </c>
      <c r="I78" s="12" t="s">
        <v>15</v>
      </c>
      <c r="J78" s="19">
        <v>42</v>
      </c>
    </row>
    <row r="79" spans="4:13" x14ac:dyDescent="0.25">
      <c r="D79" s="19">
        <f t="shared" si="2"/>
        <v>2</v>
      </c>
      <c r="E79" s="2">
        <f t="shared" si="3"/>
        <v>2</v>
      </c>
      <c r="F79" s="3">
        <v>43437</v>
      </c>
      <c r="G79" s="4">
        <f>0.3+2.26+1.99+2.06+1.18+0.87</f>
        <v>8.6599999999999984</v>
      </c>
      <c r="H79" t="s">
        <v>45</v>
      </c>
      <c r="I79" s="12" t="s">
        <v>11</v>
      </c>
      <c r="J79" s="19">
        <v>43</v>
      </c>
    </row>
    <row r="80" spans="4:13" x14ac:dyDescent="0.25">
      <c r="D80" s="19">
        <f t="shared" si="2"/>
        <v>3</v>
      </c>
      <c r="E80" s="2">
        <f t="shared" si="3"/>
        <v>3</v>
      </c>
      <c r="F80" s="3">
        <v>43438</v>
      </c>
      <c r="G80" s="4">
        <f>0.3+1.48+1.35+3.38-0.88+1.08+2.01</f>
        <v>8.7199999999999989</v>
      </c>
      <c r="H80" t="s">
        <v>45</v>
      </c>
      <c r="I80" s="12" t="s">
        <v>11</v>
      </c>
      <c r="J80" s="19">
        <v>44</v>
      </c>
    </row>
    <row r="81" spans="4:10" x14ac:dyDescent="0.25">
      <c r="D81" s="19">
        <f t="shared" si="2"/>
        <v>4</v>
      </c>
      <c r="E81" s="2">
        <f t="shared" si="3"/>
        <v>4</v>
      </c>
      <c r="F81" s="3">
        <v>43439</v>
      </c>
      <c r="G81" s="4">
        <f>2.12+2.87+2.06+1.99+0.3</f>
        <v>9.3400000000000016</v>
      </c>
      <c r="H81" t="s">
        <v>45</v>
      </c>
      <c r="I81" s="12" t="s">
        <v>11</v>
      </c>
      <c r="J81" s="19">
        <v>45</v>
      </c>
    </row>
    <row r="82" spans="4:10" x14ac:dyDescent="0.25">
      <c r="D82" s="19">
        <f t="shared" si="2"/>
        <v>5</v>
      </c>
      <c r="E82" s="2">
        <f t="shared" si="3"/>
        <v>5</v>
      </c>
      <c r="F82" s="3">
        <v>43440</v>
      </c>
      <c r="G82" s="4">
        <f>1.77+0.89+0.3+2.26</f>
        <v>5.22</v>
      </c>
      <c r="H82" t="s">
        <v>45</v>
      </c>
      <c r="I82" s="12" t="s">
        <v>11</v>
      </c>
      <c r="J82" s="19">
        <v>46</v>
      </c>
    </row>
    <row r="83" spans="4:10" x14ac:dyDescent="0.25">
      <c r="D83" s="19">
        <f t="shared" si="2"/>
        <v>6</v>
      </c>
      <c r="E83" s="2">
        <f t="shared" si="3"/>
        <v>6</v>
      </c>
      <c r="F83" s="3">
        <v>43441</v>
      </c>
      <c r="G83" s="4">
        <f>2.15+2.99+0.3+0.87</f>
        <v>6.3100000000000005</v>
      </c>
      <c r="H83" t="s">
        <v>45</v>
      </c>
      <c r="I83" s="12" t="s">
        <v>11</v>
      </c>
      <c r="J83" s="19">
        <v>47</v>
      </c>
    </row>
    <row r="84" spans="4:10" x14ac:dyDescent="0.25">
      <c r="D84" s="19">
        <f t="shared" si="2"/>
        <v>6</v>
      </c>
      <c r="E84" s="2">
        <f t="shared" si="3"/>
        <v>6</v>
      </c>
      <c r="F84" s="3">
        <v>43441</v>
      </c>
      <c r="G84" s="4">
        <f>2.24+0.71+1.35+1.99+1.99+2.99+1.99+2.85+0.3</f>
        <v>16.410000000000004</v>
      </c>
      <c r="H84" t="s">
        <v>46</v>
      </c>
      <c r="I84" t="s">
        <v>11</v>
      </c>
      <c r="J84" s="19">
        <v>47</v>
      </c>
    </row>
    <row r="85" spans="4:10" x14ac:dyDescent="0.25">
      <c r="D85" s="19">
        <f t="shared" si="2"/>
        <v>7</v>
      </c>
      <c r="E85" s="2">
        <f t="shared" si="3"/>
        <v>7</v>
      </c>
      <c r="F85" s="3">
        <v>43442</v>
      </c>
      <c r="G85" s="4">
        <f>20</f>
        <v>20</v>
      </c>
      <c r="H85" t="s">
        <v>48</v>
      </c>
      <c r="I85" t="s">
        <v>15</v>
      </c>
      <c r="J85" s="19">
        <v>48</v>
      </c>
    </row>
    <row r="86" spans="4:10" x14ac:dyDescent="0.25">
      <c r="D86" s="19">
        <f t="shared" si="2"/>
        <v>1</v>
      </c>
      <c r="E86" s="2">
        <f t="shared" si="3"/>
        <v>1</v>
      </c>
      <c r="F86" s="3">
        <v>43443</v>
      </c>
      <c r="G86" s="4">
        <f>1.75+3.5</f>
        <v>5.25</v>
      </c>
      <c r="H86" t="s">
        <v>59</v>
      </c>
      <c r="I86" t="s">
        <v>11</v>
      </c>
      <c r="J86" s="19">
        <v>49</v>
      </c>
    </row>
    <row r="87" spans="4:10" x14ac:dyDescent="0.25">
      <c r="D87" s="19">
        <f t="shared" si="2"/>
        <v>2</v>
      </c>
      <c r="E87" s="2">
        <f t="shared" si="3"/>
        <v>2</v>
      </c>
      <c r="F87" s="3">
        <v>43444</v>
      </c>
      <c r="G87" s="4">
        <f>0.87+5.19+2.06</f>
        <v>8.120000000000001</v>
      </c>
      <c r="H87" t="s">
        <v>45</v>
      </c>
      <c r="I87" t="s">
        <v>11</v>
      </c>
      <c r="J87" s="19">
        <v>50</v>
      </c>
    </row>
    <row r="88" spans="4:10" x14ac:dyDescent="0.25">
      <c r="D88" s="19">
        <f t="shared" si="2"/>
        <v>3</v>
      </c>
      <c r="E88" s="2">
        <f t="shared" si="3"/>
        <v>3</v>
      </c>
      <c r="F88" s="3">
        <v>43445</v>
      </c>
      <c r="G88" s="4">
        <f>5.19+0.3+2.06+2.26+1.35+1.28</f>
        <v>12.44</v>
      </c>
      <c r="H88" t="s">
        <v>45</v>
      </c>
      <c r="I88" t="s">
        <v>11</v>
      </c>
      <c r="J88" s="19">
        <v>51</v>
      </c>
    </row>
    <row r="89" spans="4:10" x14ac:dyDescent="0.25">
      <c r="D89" s="19">
        <f t="shared" si="2"/>
        <v>4</v>
      </c>
      <c r="E89" s="2">
        <f t="shared" si="3"/>
        <v>4</v>
      </c>
      <c r="F89" s="3">
        <v>43446</v>
      </c>
      <c r="G89" s="4">
        <f>2.75+1.5</f>
        <v>4.25</v>
      </c>
      <c r="H89" t="s">
        <v>55</v>
      </c>
      <c r="I89" t="s">
        <v>11</v>
      </c>
      <c r="J89" s="19">
        <v>52</v>
      </c>
    </row>
    <row r="90" spans="4:10" x14ac:dyDescent="0.25">
      <c r="D90" s="19">
        <f t="shared" si="2"/>
        <v>4</v>
      </c>
      <c r="E90" s="2">
        <f t="shared" si="3"/>
        <v>4</v>
      </c>
      <c r="F90" s="3">
        <v>43446</v>
      </c>
      <c r="G90" s="4">
        <f>2.26+1.28+1.99+0.85+0.3</f>
        <v>6.68</v>
      </c>
      <c r="H90" t="s">
        <v>45</v>
      </c>
      <c r="I90" t="s">
        <v>11</v>
      </c>
      <c r="J90" s="19">
        <v>52</v>
      </c>
    </row>
    <row r="91" spans="4:10" x14ac:dyDescent="0.25">
      <c r="D91" s="19">
        <f t="shared" si="2"/>
        <v>5</v>
      </c>
      <c r="E91" s="2">
        <f t="shared" si="3"/>
        <v>5</v>
      </c>
      <c r="F91" s="3">
        <v>43447</v>
      </c>
      <c r="G91" s="4">
        <f>1.35+1.99</f>
        <v>3.34</v>
      </c>
      <c r="H91" t="s">
        <v>45</v>
      </c>
      <c r="I91" t="s">
        <v>11</v>
      </c>
      <c r="J91" s="19">
        <v>53</v>
      </c>
    </row>
    <row r="92" spans="4:10" x14ac:dyDescent="0.25">
      <c r="D92" s="19">
        <f t="shared" si="2"/>
        <v>6</v>
      </c>
      <c r="E92" s="2">
        <f t="shared" si="3"/>
        <v>6</v>
      </c>
      <c r="F92" s="3">
        <v>43448</v>
      </c>
      <c r="G92" s="4">
        <f>2.57+1.69+0.7+0.89+2.15+2.49-1.83+2.13</f>
        <v>10.79</v>
      </c>
      <c r="H92" t="s">
        <v>45</v>
      </c>
      <c r="I92" t="s">
        <v>11</v>
      </c>
      <c r="J92" s="19">
        <v>54</v>
      </c>
    </row>
    <row r="93" spans="4:10" x14ac:dyDescent="0.25">
      <c r="D93" s="19">
        <f t="shared" si="2"/>
        <v>6</v>
      </c>
      <c r="E93" s="2">
        <f t="shared" si="3"/>
        <v>6</v>
      </c>
      <c r="F93" s="3">
        <v>43448</v>
      </c>
      <c r="G93" s="4">
        <f>14+14</f>
        <v>28</v>
      </c>
      <c r="H93" t="s">
        <v>60</v>
      </c>
      <c r="I93" t="s">
        <v>13</v>
      </c>
      <c r="J93" s="19">
        <v>54</v>
      </c>
    </row>
    <row r="94" spans="4:10" x14ac:dyDescent="0.25">
      <c r="D94" s="19">
        <f t="shared" si="2"/>
        <v>7</v>
      </c>
      <c r="E94" s="2">
        <f t="shared" si="3"/>
        <v>7</v>
      </c>
      <c r="F94" s="3">
        <v>43449</v>
      </c>
      <c r="G94" s="4">
        <f>0.75+2.49+2.15+1.69-1.83+0.96</f>
        <v>6.21</v>
      </c>
      <c r="H94" t="s">
        <v>45</v>
      </c>
      <c r="I94" t="s">
        <v>11</v>
      </c>
      <c r="J94" s="19">
        <v>55</v>
      </c>
    </row>
    <row r="95" spans="4:10" x14ac:dyDescent="0.25">
      <c r="D95" s="19">
        <f t="shared" si="2"/>
        <v>7</v>
      </c>
      <c r="E95" s="2">
        <f t="shared" si="3"/>
        <v>7</v>
      </c>
      <c r="F95" s="3">
        <v>43449</v>
      </c>
      <c r="G95" s="4">
        <f>13.99+13.99-12.99</f>
        <v>14.99</v>
      </c>
      <c r="H95" t="s">
        <v>50</v>
      </c>
      <c r="I95" t="s">
        <v>11</v>
      </c>
      <c r="J95" s="19">
        <v>55</v>
      </c>
    </row>
    <row r="96" spans="4:10" x14ac:dyDescent="0.25">
      <c r="D96" s="19">
        <f t="shared" si="2"/>
        <v>7</v>
      </c>
      <c r="E96" s="2">
        <f t="shared" si="3"/>
        <v>7</v>
      </c>
      <c r="F96" s="3">
        <v>43449</v>
      </c>
      <c r="G96" s="4">
        <v>15</v>
      </c>
      <c r="H96" t="s">
        <v>48</v>
      </c>
      <c r="I96" t="s">
        <v>15</v>
      </c>
      <c r="J96" s="19">
        <v>55</v>
      </c>
    </row>
    <row r="97" spans="4:11" x14ac:dyDescent="0.25">
      <c r="D97" s="19">
        <f t="shared" si="2"/>
        <v>1</v>
      </c>
      <c r="E97" s="2">
        <f t="shared" si="3"/>
        <v>1</v>
      </c>
      <c r="F97" s="3">
        <v>43450</v>
      </c>
      <c r="G97" s="4">
        <f>0.79+0.79+0.79+0.79</f>
        <v>3.16</v>
      </c>
      <c r="H97" t="s">
        <v>53</v>
      </c>
      <c r="I97" t="s">
        <v>15</v>
      </c>
      <c r="J97" s="19">
        <v>56</v>
      </c>
    </row>
    <row r="98" spans="4:11" x14ac:dyDescent="0.25">
      <c r="D98" s="19">
        <f t="shared" si="2"/>
        <v>1</v>
      </c>
      <c r="E98" s="2">
        <f t="shared" si="3"/>
        <v>1</v>
      </c>
      <c r="F98" s="3">
        <v>43450</v>
      </c>
      <c r="G98" s="4">
        <f>7.79</f>
        <v>7.79</v>
      </c>
      <c r="H98" t="s">
        <v>52</v>
      </c>
      <c r="I98" t="s">
        <v>15</v>
      </c>
      <c r="J98" s="19">
        <v>56</v>
      </c>
    </row>
    <row r="99" spans="4:11" x14ac:dyDescent="0.25">
      <c r="D99" s="19">
        <f t="shared" si="2"/>
        <v>1</v>
      </c>
      <c r="E99" s="2">
        <f t="shared" si="3"/>
        <v>1</v>
      </c>
      <c r="F99" s="3">
        <v>43450</v>
      </c>
      <c r="G99" s="4">
        <f>1+5</f>
        <v>6</v>
      </c>
      <c r="H99" t="s">
        <v>48</v>
      </c>
      <c r="I99" t="s">
        <v>15</v>
      </c>
      <c r="J99" s="19">
        <v>56</v>
      </c>
    </row>
    <row r="100" spans="4:11" x14ac:dyDescent="0.25">
      <c r="D100" s="19">
        <f t="shared" si="2"/>
        <v>1</v>
      </c>
      <c r="E100" s="2">
        <f t="shared" si="3"/>
        <v>1</v>
      </c>
      <c r="F100" s="3">
        <v>43450</v>
      </c>
      <c r="G100" s="4">
        <f>1+1</f>
        <v>2</v>
      </c>
      <c r="H100" t="s">
        <v>52</v>
      </c>
      <c r="I100" t="s">
        <v>15</v>
      </c>
      <c r="J100" s="19">
        <v>56</v>
      </c>
    </row>
    <row r="101" spans="4:11" x14ac:dyDescent="0.25">
      <c r="D101" s="19">
        <f t="shared" si="2"/>
        <v>2</v>
      </c>
      <c r="E101" s="2">
        <f t="shared" si="3"/>
        <v>2</v>
      </c>
      <c r="F101" s="3">
        <v>43451</v>
      </c>
      <c r="G101" s="4">
        <f>6.99+2.26+2.06+2.56</f>
        <v>13.870000000000001</v>
      </c>
      <c r="H101" t="s">
        <v>45</v>
      </c>
      <c r="I101" t="s">
        <v>11</v>
      </c>
      <c r="J101" s="19">
        <v>57</v>
      </c>
    </row>
    <row r="102" spans="4:11" x14ac:dyDescent="0.25">
      <c r="D102" s="19">
        <f t="shared" si="2"/>
        <v>3</v>
      </c>
      <c r="E102" s="2">
        <f t="shared" si="3"/>
        <v>3</v>
      </c>
      <c r="F102" s="3">
        <v>43452</v>
      </c>
      <c r="G102" s="4">
        <v>1.5</v>
      </c>
      <c r="H102" t="s">
        <v>55</v>
      </c>
      <c r="I102" t="s">
        <v>11</v>
      </c>
      <c r="J102" s="19">
        <v>58</v>
      </c>
    </row>
    <row r="103" spans="4:11" x14ac:dyDescent="0.25">
      <c r="D103" s="19">
        <f t="shared" si="2"/>
        <v>3</v>
      </c>
      <c r="E103" s="2">
        <f t="shared" si="3"/>
        <v>3</v>
      </c>
      <c r="F103" s="3">
        <v>43452</v>
      </c>
      <c r="G103" s="4">
        <f>2.26+1.77+0.92+1.18+0.89</f>
        <v>7.0199999999999987</v>
      </c>
      <c r="H103" t="s">
        <v>45</v>
      </c>
      <c r="I103" t="s">
        <v>11</v>
      </c>
      <c r="J103" s="19">
        <v>58</v>
      </c>
    </row>
    <row r="104" spans="4:11" x14ac:dyDescent="0.25">
      <c r="D104" s="19">
        <f t="shared" si="2"/>
        <v>4</v>
      </c>
      <c r="E104" s="2">
        <f t="shared" si="3"/>
        <v>4</v>
      </c>
      <c r="F104" s="3">
        <v>43453</v>
      </c>
      <c r="G104" s="4">
        <f>1.28+1.69+2.49+2.93+2.15-1.83+0.3</f>
        <v>9.0100000000000016</v>
      </c>
      <c r="H104" t="s">
        <v>45</v>
      </c>
      <c r="I104" t="s">
        <v>11</v>
      </c>
      <c r="J104" s="19">
        <v>59</v>
      </c>
    </row>
    <row r="105" spans="4:11" x14ac:dyDescent="0.25">
      <c r="D105" s="19">
        <f t="shared" si="2"/>
        <v>5</v>
      </c>
      <c r="E105" s="2">
        <f t="shared" si="3"/>
        <v>5</v>
      </c>
      <c r="F105" s="3">
        <v>43454</v>
      </c>
      <c r="G105" s="4">
        <f>3.19+2.59+1.29+0.44</f>
        <v>7.51</v>
      </c>
      <c r="H105" t="s">
        <v>45</v>
      </c>
      <c r="I105" t="s">
        <v>11</v>
      </c>
      <c r="J105" s="19">
        <v>60</v>
      </c>
    </row>
    <row r="106" spans="4:11" x14ac:dyDescent="0.25">
      <c r="D106" s="19">
        <f t="shared" si="2"/>
        <v>5</v>
      </c>
      <c r="E106" s="2">
        <f t="shared" si="3"/>
        <v>5</v>
      </c>
      <c r="F106" s="3">
        <v>43454</v>
      </c>
      <c r="G106" s="4">
        <f>4.79+0.2+2.06+1.08+2.1</f>
        <v>10.23</v>
      </c>
      <c r="H106" t="s">
        <v>45</v>
      </c>
      <c r="I106" t="s">
        <v>11</v>
      </c>
      <c r="J106" s="19">
        <v>60</v>
      </c>
      <c r="K106" s="1" t="s">
        <v>25</v>
      </c>
    </row>
    <row r="107" spans="4:11" x14ac:dyDescent="0.25">
      <c r="D107" s="19">
        <f t="shared" si="2"/>
        <v>6</v>
      </c>
      <c r="E107" s="2">
        <f t="shared" si="3"/>
        <v>6</v>
      </c>
      <c r="F107" s="3">
        <v>43455</v>
      </c>
      <c r="G107" s="4">
        <f>1.85+0.89+2.15</f>
        <v>4.8900000000000006</v>
      </c>
      <c r="H107" t="s">
        <v>45</v>
      </c>
      <c r="I107" t="s">
        <v>11</v>
      </c>
      <c r="J107" s="19">
        <v>61</v>
      </c>
    </row>
    <row r="108" spans="4:11" x14ac:dyDescent="0.25">
      <c r="D108" s="19">
        <f t="shared" si="2"/>
        <v>6</v>
      </c>
      <c r="E108" s="2">
        <f t="shared" si="3"/>
        <v>6</v>
      </c>
      <c r="F108" s="3">
        <v>43455</v>
      </c>
      <c r="G108" s="4">
        <f>7.5</f>
        <v>7.5</v>
      </c>
      <c r="H108" t="s">
        <v>48</v>
      </c>
      <c r="I108" t="s">
        <v>15</v>
      </c>
      <c r="J108" s="19">
        <v>61</v>
      </c>
    </row>
    <row r="109" spans="4:11" x14ac:dyDescent="0.25">
      <c r="D109" s="19">
        <f t="shared" si="2"/>
        <v>7</v>
      </c>
      <c r="E109" s="2">
        <f t="shared" si="3"/>
        <v>7</v>
      </c>
      <c r="F109" s="3">
        <v>43456</v>
      </c>
      <c r="G109" s="4">
        <v>3</v>
      </c>
      <c r="H109" t="s">
        <v>58</v>
      </c>
      <c r="I109" t="s">
        <v>15</v>
      </c>
      <c r="J109" s="19">
        <v>62</v>
      </c>
    </row>
    <row r="110" spans="4:11" x14ac:dyDescent="0.25">
      <c r="D110" s="19">
        <f t="shared" si="2"/>
        <v>7</v>
      </c>
      <c r="E110" s="2">
        <f t="shared" si="3"/>
        <v>7</v>
      </c>
      <c r="F110" s="3">
        <v>43456</v>
      </c>
      <c r="G110" s="4">
        <f>1.98+1.79+4.09+2.49+2.95+0.3+2.65</f>
        <v>16.25</v>
      </c>
      <c r="H110" t="s">
        <v>46</v>
      </c>
      <c r="I110" t="s">
        <v>11</v>
      </c>
      <c r="J110" s="19">
        <v>62</v>
      </c>
    </row>
    <row r="111" spans="4:11" x14ac:dyDescent="0.25">
      <c r="D111" s="19">
        <f t="shared" si="2"/>
        <v>1</v>
      </c>
      <c r="E111" s="2">
        <f t="shared" si="3"/>
        <v>1</v>
      </c>
      <c r="F111" s="3">
        <v>43457</v>
      </c>
      <c r="G111" s="4">
        <f>2.15+2.49+1.69-1.83+0.4</f>
        <v>4.9000000000000004</v>
      </c>
      <c r="H111" t="s">
        <v>45</v>
      </c>
      <c r="I111" t="s">
        <v>11</v>
      </c>
      <c r="J111" s="19">
        <v>63</v>
      </c>
    </row>
    <row r="112" spans="4:11" x14ac:dyDescent="0.25">
      <c r="D112" s="19">
        <f t="shared" si="2"/>
        <v>1</v>
      </c>
      <c r="E112" s="2">
        <f t="shared" si="3"/>
        <v>1</v>
      </c>
      <c r="F112" s="3">
        <v>43457</v>
      </c>
      <c r="G112" s="4">
        <f>6.76+6.09+0.1</f>
        <v>12.95</v>
      </c>
      <c r="H112" t="s">
        <v>49</v>
      </c>
      <c r="I112" t="s">
        <v>17</v>
      </c>
      <c r="J112" s="19">
        <v>63</v>
      </c>
    </row>
    <row r="113" spans="4:10" x14ac:dyDescent="0.25">
      <c r="D113" s="19">
        <f t="shared" si="2"/>
        <v>1</v>
      </c>
      <c r="E113" s="2">
        <f t="shared" si="3"/>
        <v>1</v>
      </c>
      <c r="F113" s="3">
        <v>43457</v>
      </c>
      <c r="G113" s="4">
        <f>0.3+4.46+3.29+3.59-1.88</f>
        <v>9.7600000000000016</v>
      </c>
      <c r="H113" t="s">
        <v>45</v>
      </c>
      <c r="I113" t="s">
        <v>11</v>
      </c>
      <c r="J113" s="19">
        <v>63</v>
      </c>
    </row>
    <row r="114" spans="4:10" x14ac:dyDescent="0.25">
      <c r="D114" s="19">
        <f t="shared" si="2"/>
        <v>2</v>
      </c>
      <c r="E114" s="2">
        <f t="shared" si="3"/>
        <v>2</v>
      </c>
      <c r="F114" s="3">
        <v>43458</v>
      </c>
      <c r="G114" s="4">
        <f>0.3+1.08+2.56+2.38+0.64</f>
        <v>6.96</v>
      </c>
      <c r="H114" t="s">
        <v>45</v>
      </c>
      <c r="I114" t="s">
        <v>11</v>
      </c>
      <c r="J114" s="19">
        <v>64</v>
      </c>
    </row>
    <row r="115" spans="4:10" x14ac:dyDescent="0.25">
      <c r="D115" s="19">
        <f t="shared" si="2"/>
        <v>3</v>
      </c>
      <c r="E115" s="2">
        <f t="shared" si="3"/>
        <v>3</v>
      </c>
      <c r="F115" s="3">
        <v>43459</v>
      </c>
      <c r="G115" s="4">
        <f>4.59+2.58+2.65+3.69+2.29+1.85+2.49+2.95+0.6+1.29-1.15</f>
        <v>23.830000000000002</v>
      </c>
      <c r="H115" t="s">
        <v>46</v>
      </c>
      <c r="I115" t="s">
        <v>11</v>
      </c>
      <c r="J115" s="19">
        <v>65</v>
      </c>
    </row>
    <row r="116" spans="4:10" x14ac:dyDescent="0.25">
      <c r="D116" s="19">
        <f t="shared" si="2"/>
        <v>4</v>
      </c>
      <c r="E116" s="2">
        <f t="shared" si="3"/>
        <v>4</v>
      </c>
      <c r="F116" s="3">
        <v>43460</v>
      </c>
      <c r="G116" s="4">
        <f>1.76+1.89+0.2</f>
        <v>3.85</v>
      </c>
      <c r="H116" t="s">
        <v>45</v>
      </c>
      <c r="I116" t="s">
        <v>11</v>
      </c>
      <c r="J116" s="19">
        <v>66</v>
      </c>
    </row>
    <row r="117" spans="4:10" x14ac:dyDescent="0.25">
      <c r="D117" s="19">
        <f t="shared" si="2"/>
        <v>4</v>
      </c>
      <c r="E117" s="2">
        <f t="shared" si="3"/>
        <v>4</v>
      </c>
      <c r="F117" s="3">
        <v>43460</v>
      </c>
      <c r="G117" s="4">
        <v>12.5</v>
      </c>
      <c r="H117" t="s">
        <v>48</v>
      </c>
      <c r="I117" t="s">
        <v>15</v>
      </c>
      <c r="J117" s="19">
        <v>66</v>
      </c>
    </row>
    <row r="118" spans="4:10" x14ac:dyDescent="0.25">
      <c r="D118" s="19">
        <f t="shared" si="2"/>
        <v>5</v>
      </c>
      <c r="E118" s="2">
        <f t="shared" si="3"/>
        <v>5</v>
      </c>
      <c r="F118" s="3">
        <v>43461</v>
      </c>
      <c r="G118" s="4">
        <f>1.11+2.06+2.26</f>
        <v>5.43</v>
      </c>
      <c r="H118" t="s">
        <v>45</v>
      </c>
      <c r="I118" t="s">
        <v>15</v>
      </c>
      <c r="J118" s="19">
        <v>67</v>
      </c>
    </row>
    <row r="119" spans="4:10" x14ac:dyDescent="0.25">
      <c r="D119" s="19">
        <f t="shared" si="2"/>
        <v>1</v>
      </c>
      <c r="E119" s="2">
        <f t="shared" si="3"/>
        <v>1</v>
      </c>
      <c r="F119" s="3">
        <v>43464</v>
      </c>
      <c r="G119" s="4">
        <f>0.76+1.72</f>
        <v>2.48</v>
      </c>
      <c r="H119" t="s">
        <v>46</v>
      </c>
      <c r="I119" t="s">
        <v>11</v>
      </c>
      <c r="J119" s="19">
        <v>68</v>
      </c>
    </row>
    <row r="120" spans="4:10" x14ac:dyDescent="0.25">
      <c r="D120" s="19">
        <f t="shared" si="2"/>
        <v>1</v>
      </c>
      <c r="E120" s="2">
        <f t="shared" si="3"/>
        <v>1</v>
      </c>
      <c r="F120" s="3">
        <v>43464</v>
      </c>
      <c r="G120" s="4">
        <f>0.89+3.99+0.15</f>
        <v>5.03</v>
      </c>
      <c r="H120" t="s">
        <v>49</v>
      </c>
      <c r="I120" t="s">
        <v>15</v>
      </c>
      <c r="J120" s="19">
        <v>68</v>
      </c>
    </row>
    <row r="121" spans="4:10" x14ac:dyDescent="0.25">
      <c r="D121" s="19">
        <f t="shared" si="2"/>
        <v>1</v>
      </c>
      <c r="E121" s="2">
        <f t="shared" si="3"/>
        <v>1</v>
      </c>
      <c r="F121" s="3">
        <v>43464</v>
      </c>
      <c r="G121" s="4">
        <f>4.49-0.5+2.99+1.13+0.2</f>
        <v>8.3099999999999987</v>
      </c>
      <c r="H121" t="s">
        <v>45</v>
      </c>
      <c r="I121" t="s">
        <v>11</v>
      </c>
      <c r="J121" s="19">
        <v>68</v>
      </c>
    </row>
    <row r="122" spans="4:10" x14ac:dyDescent="0.25">
      <c r="D122" s="19">
        <f t="shared" si="2"/>
        <v>3</v>
      </c>
      <c r="E122" s="2">
        <f t="shared" si="3"/>
        <v>3</v>
      </c>
      <c r="F122" s="3">
        <v>43466</v>
      </c>
      <c r="G122" s="4">
        <f>4.46+0.99+3.98</f>
        <v>9.43</v>
      </c>
      <c r="H122" t="s">
        <v>46</v>
      </c>
      <c r="I122" t="s">
        <v>15</v>
      </c>
      <c r="J122" s="19">
        <v>69</v>
      </c>
    </row>
    <row r="123" spans="4:10" x14ac:dyDescent="0.25">
      <c r="D123" s="19">
        <f t="shared" si="2"/>
        <v>3</v>
      </c>
      <c r="E123" s="2">
        <f t="shared" si="3"/>
        <v>3</v>
      </c>
      <c r="F123" s="3">
        <v>43466</v>
      </c>
      <c r="G123" s="4">
        <f>0.6+3.49+3.91+2.49+1.49+1.45</f>
        <v>13.43</v>
      </c>
      <c r="H123" t="s">
        <v>45</v>
      </c>
      <c r="I123" t="s">
        <v>11</v>
      </c>
      <c r="J123" s="19">
        <v>69</v>
      </c>
    </row>
    <row r="124" spans="4:10" x14ac:dyDescent="0.25">
      <c r="D124" s="19">
        <f t="shared" si="2"/>
        <v>6</v>
      </c>
      <c r="E124" s="2">
        <f t="shared" si="3"/>
        <v>6</v>
      </c>
      <c r="F124" s="3">
        <v>43469</v>
      </c>
      <c r="G124" s="4">
        <f>1.95+0.1+1.8+1.09+0.6+1.29</f>
        <v>6.8299999999999992</v>
      </c>
      <c r="H124" t="s">
        <v>46</v>
      </c>
      <c r="I124" t="s">
        <v>9</v>
      </c>
      <c r="J124" s="19">
        <v>70</v>
      </c>
    </row>
    <row r="125" spans="4:10" x14ac:dyDescent="0.25">
      <c r="D125" s="19">
        <f t="shared" si="2"/>
        <v>7</v>
      </c>
      <c r="E125" s="2">
        <f t="shared" si="3"/>
        <v>7</v>
      </c>
      <c r="F125" s="3">
        <v>43470</v>
      </c>
      <c r="G125" s="4">
        <f>1.13+6.49+6.99-3.48</f>
        <v>11.129999999999999</v>
      </c>
      <c r="H125" t="s">
        <v>45</v>
      </c>
      <c r="I125" t="s">
        <v>11</v>
      </c>
      <c r="J125" s="19">
        <v>71</v>
      </c>
    </row>
    <row r="126" spans="4:10" x14ac:dyDescent="0.25">
      <c r="D126" s="19">
        <f t="shared" si="2"/>
        <v>7</v>
      </c>
      <c r="E126" s="2">
        <f t="shared" si="3"/>
        <v>7</v>
      </c>
      <c r="F126" s="3">
        <v>43470</v>
      </c>
      <c r="G126" s="4">
        <f>1.22+1.02+1.39+1.99+1.79+3.03+0.15</f>
        <v>10.59</v>
      </c>
      <c r="H126" t="s">
        <v>46</v>
      </c>
      <c r="I126" t="s">
        <v>11</v>
      </c>
      <c r="J126" s="19">
        <v>71</v>
      </c>
    </row>
    <row r="127" spans="4:10" x14ac:dyDescent="0.25">
      <c r="D127" s="19">
        <f t="shared" si="2"/>
        <v>1</v>
      </c>
      <c r="E127" s="2">
        <f t="shared" si="3"/>
        <v>1</v>
      </c>
      <c r="F127" s="3">
        <v>43471</v>
      </c>
      <c r="G127" s="4">
        <f>2.26+1.77+2.06</f>
        <v>6.09</v>
      </c>
      <c r="H127" t="s">
        <v>45</v>
      </c>
      <c r="I127" t="s">
        <v>11</v>
      </c>
      <c r="J127" s="19">
        <v>72</v>
      </c>
    </row>
    <row r="128" spans="4:10" x14ac:dyDescent="0.25">
      <c r="D128" s="19">
        <f t="shared" si="2"/>
        <v>2</v>
      </c>
      <c r="E128" s="2">
        <f t="shared" si="3"/>
        <v>2</v>
      </c>
      <c r="F128" s="3">
        <v>43472</v>
      </c>
      <c r="G128" s="4">
        <v>58.08</v>
      </c>
      <c r="H128" t="s">
        <v>58</v>
      </c>
      <c r="I128" t="s">
        <v>13</v>
      </c>
      <c r="J128" s="19">
        <v>73</v>
      </c>
    </row>
    <row r="129" spans="4:10" x14ac:dyDescent="0.25">
      <c r="D129" s="19">
        <f t="shared" si="2"/>
        <v>2</v>
      </c>
      <c r="E129" s="2">
        <f t="shared" si="3"/>
        <v>2</v>
      </c>
      <c r="F129" s="3">
        <v>43472</v>
      </c>
      <c r="G129" s="4">
        <f>0.15+2.99+2.77</f>
        <v>5.91</v>
      </c>
      <c r="H129" t="s">
        <v>46</v>
      </c>
      <c r="I129" t="s">
        <v>11</v>
      </c>
      <c r="J129" s="19">
        <v>73</v>
      </c>
    </row>
    <row r="130" spans="4:10" x14ac:dyDescent="0.25">
      <c r="D130" s="19">
        <f t="shared" si="2"/>
        <v>2</v>
      </c>
      <c r="E130" s="2">
        <f t="shared" si="3"/>
        <v>2</v>
      </c>
      <c r="F130" s="3">
        <v>43472</v>
      </c>
      <c r="G130" s="4">
        <f>24.99+0.05</f>
        <v>25.04</v>
      </c>
      <c r="H130" t="s">
        <v>60</v>
      </c>
      <c r="I130" t="s">
        <v>13</v>
      </c>
      <c r="J130" s="19">
        <v>73</v>
      </c>
    </row>
    <row r="131" spans="4:10" x14ac:dyDescent="0.25">
      <c r="D131" s="19">
        <f t="shared" si="2"/>
        <v>2</v>
      </c>
      <c r="E131" s="2">
        <f t="shared" si="3"/>
        <v>2</v>
      </c>
      <c r="F131" s="3">
        <v>43472</v>
      </c>
      <c r="G131" s="4">
        <f>4.3-2.36+2.56</f>
        <v>4.5</v>
      </c>
      <c r="H131" t="s">
        <v>45</v>
      </c>
      <c r="I131" t="s">
        <v>11</v>
      </c>
      <c r="J131" s="19">
        <v>73</v>
      </c>
    </row>
    <row r="132" spans="4:10" x14ac:dyDescent="0.25">
      <c r="D132" s="19">
        <f t="shared" si="2"/>
        <v>3</v>
      </c>
      <c r="E132" s="2">
        <f t="shared" si="3"/>
        <v>3</v>
      </c>
      <c r="F132" s="3">
        <v>43473</v>
      </c>
      <c r="G132" s="4">
        <f>0.89+2.26+0.2</f>
        <v>3.35</v>
      </c>
      <c r="H132" t="s">
        <v>45</v>
      </c>
      <c r="I132" t="s">
        <v>11</v>
      </c>
      <c r="J132" s="19">
        <v>74</v>
      </c>
    </row>
    <row r="133" spans="4:10" x14ac:dyDescent="0.25">
      <c r="D133" s="19">
        <f t="shared" si="2"/>
        <v>3</v>
      </c>
      <c r="E133" s="2">
        <f t="shared" si="3"/>
        <v>3</v>
      </c>
      <c r="F133" s="3">
        <v>43473</v>
      </c>
      <c r="G133" s="4">
        <f>0.99+0.94</f>
        <v>1.93</v>
      </c>
      <c r="H133" t="s">
        <v>45</v>
      </c>
      <c r="I133" t="s">
        <v>11</v>
      </c>
      <c r="J133" s="19">
        <v>74</v>
      </c>
    </row>
    <row r="134" spans="4:10" x14ac:dyDescent="0.25">
      <c r="D134" s="19">
        <f t="shared" si="2"/>
        <v>4</v>
      </c>
      <c r="E134" s="2">
        <f t="shared" si="3"/>
        <v>4</v>
      </c>
      <c r="F134" s="3">
        <v>43474</v>
      </c>
      <c r="G134" s="4">
        <f>0.3+2.22+1.11+1.49+1.24+1.77+2.33+4.79+1.89</f>
        <v>17.14</v>
      </c>
      <c r="H134" t="s">
        <v>45</v>
      </c>
      <c r="I134" t="s">
        <v>11</v>
      </c>
      <c r="J134" s="19">
        <v>75</v>
      </c>
    </row>
    <row r="135" spans="4:10" x14ac:dyDescent="0.25">
      <c r="D135" s="19">
        <f t="shared" si="2"/>
        <v>5</v>
      </c>
      <c r="E135" s="2">
        <f t="shared" si="3"/>
        <v>5</v>
      </c>
      <c r="F135" s="3">
        <v>43475</v>
      </c>
      <c r="G135" s="4">
        <f>2.44+3.9+0.2+1.79+0.3+3.75</f>
        <v>12.38</v>
      </c>
      <c r="H135" t="s">
        <v>46</v>
      </c>
      <c r="I135" t="s">
        <v>11</v>
      </c>
      <c r="J135" s="19">
        <v>76</v>
      </c>
    </row>
    <row r="136" spans="4:10" x14ac:dyDescent="0.25">
      <c r="D136" s="19">
        <f t="shared" si="2"/>
        <v>6</v>
      </c>
      <c r="E136" s="2">
        <f t="shared" si="3"/>
        <v>6</v>
      </c>
      <c r="F136" s="3">
        <v>43476</v>
      </c>
      <c r="G136" s="4">
        <f>0.46+4.98-2.49</f>
        <v>2.95</v>
      </c>
      <c r="H136" t="s">
        <v>45</v>
      </c>
      <c r="I136" t="s">
        <v>11</v>
      </c>
      <c r="J136" s="19">
        <v>77</v>
      </c>
    </row>
    <row r="137" spans="4:10" x14ac:dyDescent="0.25">
      <c r="D137" s="19">
        <f t="shared" si="2"/>
        <v>6</v>
      </c>
      <c r="E137" s="2">
        <f t="shared" si="3"/>
        <v>6</v>
      </c>
      <c r="F137" s="3">
        <v>43476</v>
      </c>
      <c r="G137" s="4">
        <f>0.3+2.21+4.18-1.89+1.4+2.23+1.19+1.85+2.22+2.26</f>
        <v>15.95</v>
      </c>
      <c r="H137" t="s">
        <v>45</v>
      </c>
      <c r="I137" t="s">
        <v>11</v>
      </c>
      <c r="J137" s="19">
        <v>78</v>
      </c>
    </row>
    <row r="138" spans="4:10" x14ac:dyDescent="0.25">
      <c r="D138" s="19">
        <f t="shared" si="2"/>
        <v>7</v>
      </c>
      <c r="E138" s="2">
        <f t="shared" si="3"/>
        <v>7</v>
      </c>
      <c r="F138" s="3">
        <v>43477</v>
      </c>
      <c r="G138" s="4">
        <f>2</f>
        <v>2</v>
      </c>
      <c r="H138" t="s">
        <v>45</v>
      </c>
      <c r="I138" t="s">
        <v>11</v>
      </c>
      <c r="J138" s="19">
        <v>78</v>
      </c>
    </row>
    <row r="139" spans="4:10" x14ac:dyDescent="0.25">
      <c r="D139" s="19">
        <f t="shared" si="2"/>
        <v>1</v>
      </c>
      <c r="E139" s="2">
        <f t="shared" si="3"/>
        <v>1</v>
      </c>
      <c r="F139" s="3">
        <v>43478</v>
      </c>
      <c r="G139" s="4">
        <f>3.29+1.13+6.99+1.19</f>
        <v>12.6</v>
      </c>
      <c r="H139" t="s">
        <v>45</v>
      </c>
      <c r="I139" t="s">
        <v>11</v>
      </c>
      <c r="J139" s="19">
        <v>79</v>
      </c>
    </row>
    <row r="140" spans="4:10" x14ac:dyDescent="0.25">
      <c r="D140" s="19">
        <f t="shared" si="2"/>
        <v>3</v>
      </c>
      <c r="E140" s="2">
        <f t="shared" si="3"/>
        <v>3</v>
      </c>
      <c r="F140" s="3">
        <v>43480</v>
      </c>
      <c r="G140" s="4">
        <f>2.06+3.68</f>
        <v>5.74</v>
      </c>
      <c r="H140" t="s">
        <v>45</v>
      </c>
      <c r="I140" t="s">
        <v>11</v>
      </c>
      <c r="J140" s="19">
        <v>80</v>
      </c>
    </row>
    <row r="141" spans="4:10" x14ac:dyDescent="0.25">
      <c r="D141" s="19">
        <f t="shared" si="2"/>
        <v>4</v>
      </c>
      <c r="E141" s="2">
        <f t="shared" si="3"/>
        <v>4</v>
      </c>
      <c r="F141" s="3">
        <v>43481</v>
      </c>
      <c r="G141" s="4">
        <f>1.77+2.06+5.19+2.26</f>
        <v>11.28</v>
      </c>
      <c r="H141" t="s">
        <v>45</v>
      </c>
      <c r="I141" t="s">
        <v>11</v>
      </c>
      <c r="J141" s="19">
        <v>81</v>
      </c>
    </row>
    <row r="142" spans="4:10" x14ac:dyDescent="0.25">
      <c r="D142" s="19">
        <f t="shared" si="2"/>
        <v>5</v>
      </c>
      <c r="E142" s="2">
        <f t="shared" si="3"/>
        <v>5</v>
      </c>
      <c r="F142" s="3">
        <v>43482</v>
      </c>
      <c r="G142" s="4">
        <f>19.99+14.99+7.99+19.99</f>
        <v>62.959999999999994</v>
      </c>
      <c r="H142" t="s">
        <v>58</v>
      </c>
      <c r="I142" t="s">
        <v>13</v>
      </c>
      <c r="J142" s="19">
        <v>82</v>
      </c>
    </row>
    <row r="143" spans="4:10" x14ac:dyDescent="0.25">
      <c r="D143" s="19">
        <f t="shared" si="2"/>
        <v>6</v>
      </c>
      <c r="E143" s="2">
        <f t="shared" si="3"/>
        <v>6</v>
      </c>
      <c r="F143" s="3">
        <v>43483</v>
      </c>
      <c r="G143" s="4">
        <f>2.26+0.6+1.4+4.98-2.49</f>
        <v>6.75</v>
      </c>
      <c r="H143" t="s">
        <v>45</v>
      </c>
      <c r="I143" t="s">
        <v>11</v>
      </c>
      <c r="J143" s="19">
        <v>83</v>
      </c>
    </row>
    <row r="144" spans="4:10" x14ac:dyDescent="0.25">
      <c r="D144" s="19">
        <f t="shared" si="2"/>
        <v>7</v>
      </c>
      <c r="E144" s="2">
        <f t="shared" si="3"/>
        <v>7</v>
      </c>
      <c r="F144" s="3">
        <v>43484</v>
      </c>
      <c r="G144" s="4">
        <f>2.89+0.15</f>
        <v>3.04</v>
      </c>
      <c r="H144" t="s">
        <v>49</v>
      </c>
      <c r="I144" t="s">
        <v>15</v>
      </c>
      <c r="J144" s="19">
        <v>84</v>
      </c>
    </row>
    <row r="145" spans="4:11" x14ac:dyDescent="0.25">
      <c r="D145" s="19">
        <f t="shared" si="2"/>
        <v>7</v>
      </c>
      <c r="E145" s="2">
        <f t="shared" si="3"/>
        <v>7</v>
      </c>
      <c r="F145" s="3">
        <v>43484</v>
      </c>
      <c r="G145" s="4">
        <f>3.79</f>
        <v>3.79</v>
      </c>
      <c r="H145" t="s">
        <v>52</v>
      </c>
      <c r="I145" t="s">
        <v>15</v>
      </c>
      <c r="J145" s="19">
        <v>84</v>
      </c>
    </row>
    <row r="146" spans="4:11" x14ac:dyDescent="0.25">
      <c r="D146" s="19">
        <f t="shared" si="2"/>
        <v>1</v>
      </c>
      <c r="E146" s="2">
        <f t="shared" si="3"/>
        <v>1</v>
      </c>
      <c r="F146" s="3">
        <v>43485</v>
      </c>
      <c r="G146" s="4">
        <f>14.99+2.99</f>
        <v>17.98</v>
      </c>
      <c r="H146" t="s">
        <v>58</v>
      </c>
      <c r="I146" t="s">
        <v>13</v>
      </c>
      <c r="J146" s="19">
        <v>85</v>
      </c>
    </row>
    <row r="147" spans="4:11" x14ac:dyDescent="0.25">
      <c r="D147" s="19">
        <f t="shared" si="2"/>
        <v>1</v>
      </c>
      <c r="E147" s="2">
        <f t="shared" si="3"/>
        <v>1</v>
      </c>
      <c r="F147" s="3">
        <v>43485</v>
      </c>
      <c r="G147" s="4">
        <f>4.25+3.45-3.85</f>
        <v>3.85</v>
      </c>
      <c r="H147" t="s">
        <v>46</v>
      </c>
      <c r="I147" t="s">
        <v>17</v>
      </c>
      <c r="J147" s="19">
        <v>85</v>
      </c>
    </row>
    <row r="148" spans="4:11" x14ac:dyDescent="0.25">
      <c r="D148" s="19">
        <f t="shared" si="2"/>
        <v>1</v>
      </c>
      <c r="E148" s="2">
        <f t="shared" si="3"/>
        <v>1</v>
      </c>
      <c r="F148" s="3">
        <v>43485</v>
      </c>
      <c r="G148" s="4">
        <f>1.43+3.07+0.3+2.65+1.99+5.54</f>
        <v>14.98</v>
      </c>
      <c r="H148" t="s">
        <v>46</v>
      </c>
      <c r="I148" t="s">
        <v>9</v>
      </c>
      <c r="J148" s="19">
        <v>85</v>
      </c>
    </row>
    <row r="149" spans="4:11" x14ac:dyDescent="0.25">
      <c r="D149" s="19">
        <f t="shared" si="2"/>
        <v>2</v>
      </c>
      <c r="E149" s="2">
        <f t="shared" si="3"/>
        <v>2</v>
      </c>
      <c r="F149" s="3">
        <v>43486</v>
      </c>
      <c r="G149" s="4">
        <f>1.37+2.26+4.98-2.49+6.99</f>
        <v>13.11</v>
      </c>
      <c r="H149" t="s">
        <v>45</v>
      </c>
      <c r="I149" t="s">
        <v>11</v>
      </c>
      <c r="J149" s="19">
        <v>86</v>
      </c>
    </row>
    <row r="150" spans="4:11" x14ac:dyDescent="0.25">
      <c r="D150" s="19">
        <f t="shared" si="2"/>
        <v>2</v>
      </c>
      <c r="E150" s="2">
        <f t="shared" si="3"/>
        <v>2</v>
      </c>
      <c r="F150" s="3">
        <v>43486</v>
      </c>
      <c r="G150" s="4">
        <f>1.13+0.45+5.73+0.2</f>
        <v>7.5100000000000007</v>
      </c>
      <c r="H150" t="s">
        <v>45</v>
      </c>
      <c r="I150" t="s">
        <v>11</v>
      </c>
      <c r="J150" s="19">
        <v>86</v>
      </c>
    </row>
    <row r="151" spans="4:11" x14ac:dyDescent="0.25">
      <c r="D151" s="19">
        <f t="shared" si="2"/>
        <v>3</v>
      </c>
      <c r="E151" s="2">
        <f t="shared" si="3"/>
        <v>3</v>
      </c>
      <c r="F151" s="3">
        <v>43487</v>
      </c>
      <c r="G151" s="4">
        <f>1.77+6.99+0.99+3.38+2.06+0.95+1.32+0.3</f>
        <v>17.760000000000002</v>
      </c>
      <c r="H151" t="s">
        <v>45</v>
      </c>
      <c r="I151" t="s">
        <v>11</v>
      </c>
      <c r="J151" s="19">
        <v>87</v>
      </c>
    </row>
    <row r="152" spans="4:11" x14ac:dyDescent="0.25">
      <c r="D152" s="19">
        <f t="shared" si="2"/>
        <v>4</v>
      </c>
      <c r="E152" s="2">
        <f t="shared" si="3"/>
        <v>4</v>
      </c>
      <c r="F152" s="3">
        <v>43488</v>
      </c>
      <c r="G152" s="4">
        <f>0.3+1.58+0.49+2.06+5.19</f>
        <v>9.620000000000001</v>
      </c>
      <c r="H152" t="s">
        <v>45</v>
      </c>
      <c r="I152" t="s">
        <v>11</v>
      </c>
      <c r="J152" s="19">
        <v>88</v>
      </c>
    </row>
    <row r="153" spans="4:11" x14ac:dyDescent="0.25">
      <c r="D153" s="19">
        <f t="shared" si="2"/>
        <v>6</v>
      </c>
      <c r="E153" s="2">
        <f t="shared" si="3"/>
        <v>6</v>
      </c>
      <c r="F153" s="3">
        <v>43490</v>
      </c>
      <c r="G153" s="4">
        <f>1.89+1.5</f>
        <v>3.3899999999999997</v>
      </c>
      <c r="H153" t="s">
        <v>61</v>
      </c>
      <c r="I153" t="s">
        <v>11</v>
      </c>
      <c r="J153" s="19">
        <v>89</v>
      </c>
    </row>
    <row r="154" spans="4:11" x14ac:dyDescent="0.25">
      <c r="D154" s="19">
        <f t="shared" si="2"/>
        <v>6</v>
      </c>
      <c r="E154" s="2">
        <f t="shared" si="3"/>
        <v>6</v>
      </c>
      <c r="F154" s="3">
        <v>43490</v>
      </c>
      <c r="G154" s="4">
        <f>1+2+0.1</f>
        <v>3.1</v>
      </c>
      <c r="H154" t="s">
        <v>62</v>
      </c>
      <c r="I154" t="s">
        <v>11</v>
      </c>
      <c r="J154" s="19">
        <v>89</v>
      </c>
    </row>
    <row r="155" spans="4:11" x14ac:dyDescent="0.25">
      <c r="D155" s="19">
        <f t="shared" si="2"/>
        <v>1</v>
      </c>
      <c r="E155" s="2">
        <f t="shared" si="3"/>
        <v>1</v>
      </c>
      <c r="F155" s="3">
        <v>43492</v>
      </c>
      <c r="G155" s="4">
        <f>1.8+2.6</f>
        <v>4.4000000000000004</v>
      </c>
      <c r="H155" t="s">
        <v>61</v>
      </c>
      <c r="I155" t="s">
        <v>11</v>
      </c>
      <c r="J155" s="19">
        <v>90</v>
      </c>
    </row>
    <row r="156" spans="4:11" x14ac:dyDescent="0.25">
      <c r="D156" s="19">
        <f t="shared" si="2"/>
        <v>1</v>
      </c>
      <c r="E156" s="2">
        <f t="shared" si="3"/>
        <v>1</v>
      </c>
      <c r="F156" s="3">
        <v>43492</v>
      </c>
      <c r="G156" s="4">
        <f>0.98+1.37+2.26+0.95+3.67</f>
        <v>9.23</v>
      </c>
      <c r="H156" t="s">
        <v>45</v>
      </c>
      <c r="I156" t="s">
        <v>11</v>
      </c>
      <c r="J156" s="19">
        <v>90</v>
      </c>
      <c r="K156" s="1" t="s">
        <v>26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BE09D-BFB1-4090-87C0-7BCDDCDF1FC7}">
  <dimension ref="A2:I33"/>
  <sheetViews>
    <sheetView zoomScale="85" zoomScaleNormal="85" workbookViewId="0">
      <selection activeCell="F7" sqref="F7"/>
    </sheetView>
  </sheetViews>
  <sheetFormatPr defaultRowHeight="15" x14ac:dyDescent="0.25"/>
  <cols>
    <col min="1" max="1" width="40.5703125" bestFit="1" customWidth="1"/>
    <col min="2" max="2" width="12" bestFit="1" customWidth="1"/>
    <col min="3" max="4" width="2.140625" bestFit="1" customWidth="1"/>
    <col min="5" max="5" width="2.28515625" bestFit="1" customWidth="1"/>
    <col min="6" max="6" width="2" bestFit="1" customWidth="1"/>
    <col min="7" max="7" width="7.28515625" bestFit="1" customWidth="1"/>
    <col min="8" max="8" width="24" customWidth="1"/>
    <col min="9" max="9" width="20.42578125" customWidth="1"/>
    <col min="10" max="10" width="27.140625" customWidth="1"/>
    <col min="11" max="12" width="16.28515625" bestFit="1" customWidth="1"/>
    <col min="13" max="13" width="17" bestFit="1" customWidth="1"/>
    <col min="14" max="14" width="15.85546875" bestFit="1" customWidth="1"/>
  </cols>
  <sheetData>
    <row r="2" spans="1:9" x14ac:dyDescent="0.25">
      <c r="A2" s="14" t="s">
        <v>42</v>
      </c>
      <c r="H2" s="14" t="s">
        <v>40</v>
      </c>
    </row>
    <row r="3" spans="1:9" x14ac:dyDescent="0.25">
      <c r="H3" t="s">
        <v>37</v>
      </c>
    </row>
    <row r="4" spans="1:9" x14ac:dyDescent="0.25">
      <c r="A4" s="15" t="s">
        <v>43</v>
      </c>
      <c r="H4" s="14" t="s">
        <v>0</v>
      </c>
      <c r="I4" s="14" t="s">
        <v>36</v>
      </c>
    </row>
    <row r="5" spans="1:9" x14ac:dyDescent="0.25">
      <c r="A5" s="17" t="s">
        <v>9</v>
      </c>
      <c r="H5" s="18" t="s">
        <v>29</v>
      </c>
      <c r="I5" s="18">
        <f>COUNTIFS(Data!D4:D54,"1",Data!I4:I54,"B")</f>
        <v>8</v>
      </c>
    </row>
    <row r="6" spans="1:9" x14ac:dyDescent="0.25">
      <c r="A6" s="16" t="s">
        <v>44</v>
      </c>
      <c r="H6" t="s">
        <v>32</v>
      </c>
      <c r="I6">
        <f>COUNTIFS(Data!D4:D54,"2",Data!I4:I54,"B")</f>
        <v>5</v>
      </c>
    </row>
    <row r="7" spans="1:9" x14ac:dyDescent="0.25">
      <c r="A7" s="16" t="s">
        <v>45</v>
      </c>
      <c r="H7" t="s">
        <v>33</v>
      </c>
      <c r="I7">
        <f>COUNTIFS(Data!D4:D54,"3",Data!I4:I54,"B")</f>
        <v>5</v>
      </c>
    </row>
    <row r="8" spans="1:9" x14ac:dyDescent="0.25">
      <c r="A8" s="17" t="s">
        <v>11</v>
      </c>
      <c r="H8" t="s">
        <v>34</v>
      </c>
      <c r="I8">
        <f>COUNTIFS(Data!D4:D54,"4",Data!I4:I54,"B")</f>
        <v>5</v>
      </c>
    </row>
    <row r="9" spans="1:9" x14ac:dyDescent="0.25">
      <c r="A9" s="16" t="s">
        <v>44</v>
      </c>
      <c r="H9" t="s">
        <v>31</v>
      </c>
      <c r="I9">
        <f>COUNTIFS(Data!D4:D54,"5",Data!I4:I54,"B")</f>
        <v>3</v>
      </c>
    </row>
    <row r="10" spans="1:9" x14ac:dyDescent="0.25">
      <c r="A10" s="16" t="s">
        <v>45</v>
      </c>
      <c r="H10" s="18" t="s">
        <v>35</v>
      </c>
      <c r="I10" s="18">
        <f>COUNTIFS(Data!D4:D54,"6",Data!I4:I54,"B")</f>
        <v>6</v>
      </c>
    </row>
    <row r="11" spans="1:9" x14ac:dyDescent="0.25">
      <c r="A11" s="16" t="s">
        <v>46</v>
      </c>
      <c r="H11" t="s">
        <v>30</v>
      </c>
      <c r="I11">
        <f>COUNTIFS(Data!D4:D54,"7",Data!I4:I54,"B")</f>
        <v>4</v>
      </c>
    </row>
    <row r="12" spans="1:9" x14ac:dyDescent="0.25">
      <c r="A12" s="16" t="s">
        <v>50</v>
      </c>
    </row>
    <row r="13" spans="1:9" x14ac:dyDescent="0.25">
      <c r="A13" s="16" t="s">
        <v>51</v>
      </c>
    </row>
    <row r="14" spans="1:9" x14ac:dyDescent="0.25">
      <c r="A14" s="17" t="s">
        <v>15</v>
      </c>
      <c r="H14" t="s">
        <v>38</v>
      </c>
    </row>
    <row r="15" spans="1:9" x14ac:dyDescent="0.25">
      <c r="A15" s="16" t="s">
        <v>48</v>
      </c>
      <c r="H15" s="14" t="s">
        <v>0</v>
      </c>
      <c r="I15" s="14" t="s">
        <v>36</v>
      </c>
    </row>
    <row r="16" spans="1:9" x14ac:dyDescent="0.25">
      <c r="A16" s="16" t="s">
        <v>49</v>
      </c>
      <c r="H16" t="s">
        <v>29</v>
      </c>
      <c r="I16">
        <f>COUNTIFS(Data!D55:D106,"1",Data!I55:I106,"B")</f>
        <v>4</v>
      </c>
    </row>
    <row r="17" spans="1:9" x14ac:dyDescent="0.25">
      <c r="A17" s="16" t="s">
        <v>52</v>
      </c>
      <c r="H17" t="s">
        <v>32</v>
      </c>
      <c r="I17">
        <f>COUNTIFS(Data!D55:D106,"2",Data!I55:I106,"B")</f>
        <v>5</v>
      </c>
    </row>
    <row r="18" spans="1:9" x14ac:dyDescent="0.25">
      <c r="A18" s="16" t="s">
        <v>53</v>
      </c>
      <c r="H18" s="18" t="s">
        <v>33</v>
      </c>
      <c r="I18" s="18">
        <f>COUNTIFS(Data!D55:D106,"3",Data!I55:I106,"B")</f>
        <v>7</v>
      </c>
    </row>
    <row r="19" spans="1:9" x14ac:dyDescent="0.25">
      <c r="A19" s="17" t="s">
        <v>13</v>
      </c>
      <c r="H19" s="18" t="s">
        <v>34</v>
      </c>
      <c r="I19" s="18">
        <f>COUNTIFS(Data!D55:D106,"4",Data!I55:I106,"B")</f>
        <v>6</v>
      </c>
    </row>
    <row r="20" spans="1:9" x14ac:dyDescent="0.25">
      <c r="A20" s="16" t="s">
        <v>47</v>
      </c>
      <c r="H20" t="s">
        <v>31</v>
      </c>
      <c r="I20">
        <f>COUNTIFS(Data!D55:D106,"5",Data!I55:I106,"B")</f>
        <v>4</v>
      </c>
    </row>
    <row r="21" spans="1:9" x14ac:dyDescent="0.25">
      <c r="A21" s="17" t="s">
        <v>17</v>
      </c>
      <c r="H21" s="18" t="s">
        <v>35</v>
      </c>
      <c r="I21" s="18">
        <f>COUNTIFS(Data!D55:D106,"6",Data!I55:I106,"B")</f>
        <v>6</v>
      </c>
    </row>
    <row r="22" spans="1:9" x14ac:dyDescent="0.25">
      <c r="A22" s="16" t="s">
        <v>49</v>
      </c>
      <c r="H22" t="s">
        <v>30</v>
      </c>
      <c r="I22">
        <f>COUNTIFS(Data!D55:D106,"7",Data!I55:I106,"B")</f>
        <v>4</v>
      </c>
    </row>
    <row r="23" spans="1:9" x14ac:dyDescent="0.25">
      <c r="A23" s="16" t="s">
        <v>54</v>
      </c>
    </row>
    <row r="24" spans="1:9" x14ac:dyDescent="0.25">
      <c r="A24" s="17" t="s">
        <v>28</v>
      </c>
    </row>
    <row r="25" spans="1:9" x14ac:dyDescent="0.25">
      <c r="A25" s="16" t="s">
        <v>28</v>
      </c>
      <c r="H25" t="s">
        <v>39</v>
      </c>
    </row>
    <row r="26" spans="1:9" x14ac:dyDescent="0.25">
      <c r="A26" s="17" t="s">
        <v>27</v>
      </c>
      <c r="H26" s="14" t="s">
        <v>0</v>
      </c>
      <c r="I26" s="14" t="s">
        <v>36</v>
      </c>
    </row>
    <row r="27" spans="1:9" x14ac:dyDescent="0.25">
      <c r="H27" s="18" t="s">
        <v>29</v>
      </c>
      <c r="I27" s="18">
        <f>COUNTIFS(Data!D107:D156,"1",Data!I107:I156,"B")</f>
        <v>8</v>
      </c>
    </row>
    <row r="28" spans="1:9" x14ac:dyDescent="0.25">
      <c r="H28" t="s">
        <v>32</v>
      </c>
      <c r="I28">
        <f>COUNTIFS(Data!D108:D157,"2",Data!I108:I157,"B")</f>
        <v>5</v>
      </c>
    </row>
    <row r="29" spans="1:9" x14ac:dyDescent="0.25">
      <c r="H29" s="18" t="s">
        <v>33</v>
      </c>
      <c r="I29" s="18">
        <f>COUNTIFS(Data!D109:D158,"3",Data!I109:I158,"B")</f>
        <v>6</v>
      </c>
    </row>
    <row r="30" spans="1:9" x14ac:dyDescent="0.25">
      <c r="H30" t="s">
        <v>34</v>
      </c>
      <c r="I30">
        <f>COUNTIFS(Data!D110:D159,"4",Data!I110:I159,"B")</f>
        <v>4</v>
      </c>
    </row>
    <row r="31" spans="1:9" x14ac:dyDescent="0.25">
      <c r="H31" t="s">
        <v>31</v>
      </c>
      <c r="I31">
        <f>COUNTIFS(Data!D111:D160,"5",Data!I111:I160,"B")</f>
        <v>1</v>
      </c>
    </row>
    <row r="32" spans="1:9" x14ac:dyDescent="0.25">
      <c r="H32" t="s">
        <v>35</v>
      </c>
      <c r="I32">
        <f>COUNTIFS(Data!D112:D161,"6",Data!I112:I161,"B")</f>
        <v>5</v>
      </c>
    </row>
    <row r="33" spans="8:9" x14ac:dyDescent="0.25">
      <c r="H33" t="s">
        <v>30</v>
      </c>
      <c r="I33">
        <f>COUNTIFS(Data!D113:D162,"7",Data!I113:I162,"B")</f>
        <v>3</v>
      </c>
    </row>
  </sheetData>
  <pageMargins left="0.7" right="0.7" top="0.75" bottom="0.75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2019-02-06T20:19:01Z</dcterms:created>
  <dcterms:modified xsi:type="dcterms:W3CDTF">2019-02-06T20:21:44Z</dcterms:modified>
</cp:coreProperties>
</file>